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456" activeTab="0"/>
  </bookViews>
  <sheets>
    <sheet name="Sheet2" sheetId="1" r:id="rId1"/>
  </sheets>
  <definedNames>
    <definedName name="Excel_BuiltIn_Print_Area_1">'Sheet2'!$A$1:$M$619</definedName>
    <definedName name="Excel_BuiltIn_Print_Area_1_1">'Sheet2'!$A$1:$C$619</definedName>
    <definedName name="Excel_BuiltIn_Print_Area_1_1_1">'Sheet2'!$A$1:$M$609</definedName>
    <definedName name="Excel_BuiltIn_Print_Area_1_1_1_1">'Sheet2'!$A$1:$C$595</definedName>
    <definedName name="Excel_BuiltIn_Print_Area_1_1_1_1_1">'Sheet2'!$A$1:$C$610</definedName>
    <definedName name="Excel_BuiltIn_Print_Area_1_1_1_1_1_1">'Sheet2'!$A$1:$J$612</definedName>
    <definedName name="Excel_BuiltIn_Print_Area_1_1_1_1_1_1_1">'Sheet2'!$A$1:$C$612</definedName>
    <definedName name="Excel_BuiltIn_Print_Area_1_1_1_1_1_1_1_1">'Sheet2'!$A$1:$J$562</definedName>
    <definedName name="Excel_BuiltIn_Print_Area_1_1_1_1_1_1_1_11">'Sheet2'!$A$1:$C$608</definedName>
    <definedName name="Excel_BuiltIn_Print_Area_1_1_1_1_1_1_1_1_1">'Sheet2'!$A$2:$C$608</definedName>
    <definedName name="Excel_BuiltIn_Print_Area_1_1_1_1_1_1_1_1_1_1">'Sheet2'!$A$2:$C$608</definedName>
    <definedName name="Excel_BuiltIn_Print_Area_1_1_1_1_1_1_1_1_1_1_1">#REF!</definedName>
    <definedName name="Excel_BuiltIn_Print_Area_1_1_1_1_1_1_1_1_1_1_1_1">#REF!</definedName>
    <definedName name="Excel_BuiltIn_Print_Area_2_1">'Sheet2'!$A$2:$C$595</definedName>
    <definedName name="Excel_BuiltIn_Print_Area_2_1_1">'Sheet2'!$A$2:$C$595</definedName>
    <definedName name="Excel_BuiltIn_Print_Titles">'Sheet2'!#REF!</definedName>
    <definedName name="_xlnm.Print_Area" localSheetId="0">'Sheet2'!$A$1:$P$619</definedName>
  </definedNames>
  <calcPr fullCalcOnLoad="1"/>
</workbook>
</file>

<file path=xl/comments1.xml><?xml version="1.0" encoding="utf-8"?>
<comments xmlns="http://schemas.openxmlformats.org/spreadsheetml/2006/main">
  <authors>
    <author/>
  </authors>
  <commentList>
    <comment ref="D146" authorId="0">
      <text>
        <r>
          <rPr>
            <b/>
            <sz val="9"/>
            <color indexed="8"/>
            <rFont val="Tahoma"/>
            <family val="2"/>
          </rPr>
          <t xml:space="preserve">utilizator seppd1:
</t>
        </r>
        <r>
          <rPr>
            <sz val="9"/>
            <color indexed="8"/>
            <rFont val="Tahoma"/>
            <family val="2"/>
          </rPr>
          <t xml:space="preserve">-3926 de la Amb
</t>
        </r>
      </text>
    </comment>
    <comment ref="D378" authorId="0">
      <text>
        <r>
          <rPr>
            <b/>
            <sz val="9"/>
            <color indexed="8"/>
            <rFont val="Tahoma"/>
            <family val="2"/>
          </rPr>
          <t xml:space="preserve">utilizator seppd1:
</t>
        </r>
        <r>
          <rPr>
            <sz val="9"/>
            <color indexed="8"/>
            <rFont val="Tahoma"/>
            <family val="2"/>
          </rPr>
          <t xml:space="preserve">-180 lei de la Amb
</t>
        </r>
      </text>
    </comment>
  </commentList>
</comments>
</file>

<file path=xl/sharedStrings.xml><?xml version="1.0" encoding="utf-8"?>
<sst xmlns="http://schemas.openxmlformats.org/spreadsheetml/2006/main" count="706" uniqueCount="156">
  <si>
    <t>PROIECTE CU FINANTARE DIN FONDURI EXTERNE NERAMBURSABILE POSTADERARE ȘI DIN PLANUL NAȚIONAL DE REDRESARE ȘI REZILIENȚĂ – MAI 2023</t>
  </si>
  <si>
    <t>mii lei</t>
  </si>
  <si>
    <t>Capitol Bugetar</t>
  </si>
  <si>
    <t>Denumire</t>
  </si>
  <si>
    <t>Total (mii lei)</t>
  </si>
  <si>
    <t>TRIM I</t>
  </si>
  <si>
    <t>Influente Trim I</t>
  </si>
  <si>
    <t>TRIM I final</t>
  </si>
  <si>
    <t>TRIM II</t>
  </si>
  <si>
    <t>Influente Trim II</t>
  </si>
  <si>
    <t>TRIM II final</t>
  </si>
  <si>
    <t>TRIM III</t>
  </si>
  <si>
    <t>Influente Trim III</t>
  </si>
  <si>
    <t>TRIM III final</t>
  </si>
  <si>
    <t xml:space="preserve">TRIM IV </t>
  </si>
  <si>
    <t>Infleuente Trim IV</t>
  </si>
  <si>
    <t>TRIM IV final</t>
  </si>
  <si>
    <t>Buget final 2023</t>
  </si>
  <si>
    <t>Cap. 65.02 (Invatamant)</t>
  </si>
  <si>
    <t>65.02.13</t>
  </si>
  <si>
    <t>Construire cresa, str.Potelu, Cartier Romanescu,T27,P1 Municipiul Craiova (PNRR)</t>
  </si>
  <si>
    <t>60.01</t>
  </si>
  <si>
    <t>Fonduri europene nerambursabile</t>
  </si>
  <si>
    <t>60.02</t>
  </si>
  <si>
    <t>Finanțare publică națională</t>
  </si>
  <si>
    <t>60.03</t>
  </si>
  <si>
    <t>Sume aferente TVA</t>
  </si>
  <si>
    <t>42.02.88.01</t>
  </si>
  <si>
    <t>42.02.88.02</t>
  </si>
  <si>
    <t>Finantare publica naționala</t>
  </si>
  <si>
    <t>42.02.88.03</t>
  </si>
  <si>
    <t>Construire cresa, str.Artileriei, nr.13,fosta Artileriei, zona Blocurilor ANL, Cartierul Veteranilor, Municipiul Craiova (PNRR)</t>
  </si>
  <si>
    <t>65.02.03.01</t>
  </si>
  <si>
    <t xml:space="preserve">Cresterea eficientei energetice a cladirilor publice din Municipiul Craiova apartinând sectorului Educație - Gradinița cu program prelungit ”Elena Farago” inclusiv Creșa nr. 8 </t>
  </si>
  <si>
    <t>58.01.01</t>
  </si>
  <si>
    <t>58.01.02</t>
  </si>
  <si>
    <t>58.01.03</t>
  </si>
  <si>
    <t>42.02.69</t>
  </si>
  <si>
    <t>48.02.01.01</t>
  </si>
  <si>
    <t>48.02.01.02</t>
  </si>
  <si>
    <t>Venituri proprii</t>
  </si>
  <si>
    <t>Cresterea eficientei energetice a cladirilor publice din Municipiul Craiova apartinând sectorului Educație - Gradinița cu program prelungit ”Floare Albastră” inclusiv Creșa nr. 3</t>
  </si>
  <si>
    <t xml:space="preserve">Cresterea eficientei energetice a cladirilor publice din Municipiul Craiova apartinând sectorului Educație - Gradinița cu program prelungit ”Piticot” inclusiv Creșa nr. 5  </t>
  </si>
  <si>
    <t>Creşterea accesului la educatie prin imbunatatirea infrastructurii unitatilor de inva- tamant din municipiul Craiova – Gradinita cu program prelungit Curcubeul Copilăriei</t>
  </si>
  <si>
    <t xml:space="preserve">Creşterea accesului la educatie prin imbunatatirea infrastructurii unitatilor de in-vatamant din municipiul Craiova – Gradinita cu program prelungit Căsuța cu povești </t>
  </si>
  <si>
    <t xml:space="preserve">Creşterea accesului la educatie prin imbunatatirea infrastructurii unitatilor de invatamant din municipiul Craiova – Gradinita cu program prelungit Ion Creangă  </t>
  </si>
  <si>
    <t xml:space="preserve">Creşterea accesului la educatie prin imbunatatirea infrastructurii unitatilor de invatamant din municipiul Craiova – Gradinita cu program prelungit Phoenix </t>
  </si>
  <si>
    <t>65.02.04.01</t>
  </si>
  <si>
    <t xml:space="preserve">Îmbunătățirea infrastructurii educaționale din Municipiul Craiova prin constructia/ reabilitarea/modernizarea/extinderea/echiparea Scolii Gimnaziale “Mircea Eliade” </t>
  </si>
  <si>
    <t>48.02.01.03</t>
  </si>
  <si>
    <t xml:space="preserve">Îmbunătățirea infrastructurii educaționale din Municipiul Craiova prin constructia/ reabilitarea/modernizarea/extinderea/echiparea Scolii Gimnaziale “Gheorghe Titeica” </t>
  </si>
  <si>
    <t xml:space="preserve"> </t>
  </si>
  <si>
    <t>65.02.50</t>
  </si>
  <si>
    <t>Școala virtuală în municipiul Craiova</t>
  </si>
  <si>
    <t>Masuri pentru limitArea raSpandirii coronavirusului in uniTatile de Invatamant PrEuNiversiTaR din mUnicipiul Craiova – M.A.S.T.I. Pentru Craiova</t>
  </si>
  <si>
    <t>65.02.04.02</t>
  </si>
  <si>
    <t>Creșterea calității infrastructurii educaționale la Colegiul Tehnic de Industrie Alimentară Craiova</t>
  </si>
  <si>
    <t>,,Renovare energetica moderata a cladirilor publice din Municipiul Craiova – Colegiul National Carol I- corp de cladire C13” (PNRR)</t>
  </si>
  <si>
    <t>61.01</t>
  </si>
  <si>
    <t>61.02</t>
  </si>
  <si>
    <t>61.03</t>
  </si>
  <si>
    <t>42.02.89.01</t>
  </si>
  <si>
    <t>42.02.89.02</t>
  </si>
  <si>
    <t>42.02.89.03</t>
  </si>
  <si>
    <t>Renovare energetica moderata a cladirilor publice din Municipiul Craiova – Scoala Mircea Eliade, corp de cladire C1 (PNRR)</t>
  </si>
  <si>
    <t>42.02.89.02 - Finantare nationala</t>
  </si>
  <si>
    <t>Renovarea energetica moderata a cladirilor publice din Municipiul Craiova - Liceul Matei Basarab - corp de clădire C1 (PNRR)</t>
  </si>
  <si>
    <t>42.02.89.01 - Fonduri din împrumut rambursabil</t>
  </si>
  <si>
    <t>42.02.89.03 - Sume aferente TVA</t>
  </si>
  <si>
    <t>Renovarea energetica moderata a cladirilor publice din Municipiul Craiova - Colegiul economic Gheorghe Chitu - corp de clădire C2 (PNRR)</t>
  </si>
  <si>
    <t>Renovarea energetica moderata a cladirilor publice din Municipiul Craiova - Liceul Voltaire  - corp de clădire C1 (PNRR)</t>
  </si>
  <si>
    <t>Renovarea energetica a cladirilor publice din Municipiul Craiova - Școala Gimnazială Mihai Viteazul - corp de clădire C1 (PNRR)</t>
  </si>
  <si>
    <t>Renovare energetica moderata a cladirilor publice din Municipiul Craiova - Școala Gimnazială Gheorghe Țițeica - corp de clădire C1 (PNRR)</t>
  </si>
  <si>
    <t>Renovare energetica moderată a cladirilor publice din Municipiul Craiova - Școala Gimnazială Decebal - corp de clădire C1 (PNRR)</t>
  </si>
  <si>
    <t>Renovare energetica moderată a cladirilor publice din Municipiul Craiova - Școala Gimnazială Elena Farago - corp clădire C1 (PNRR)</t>
  </si>
  <si>
    <t>Renovare energetica moderată a cladirilor publice din Municipiul Craiova - Școala Gimnazială Nicolae Romanescu str. Caracal, nr. 81 - corp de clădire C1” - corp clădire C1 (PNRR)</t>
  </si>
  <si>
    <t>Renovare energetica moderată a cladirilor publice din Municipiul Craiova - Școala Gimnazială Nicolae Romanescu str. Vantului nr. 3  - corp de clădire C1” - corp clădire C1 (PNRR)</t>
  </si>
  <si>
    <t>Renovare energetica moderată a cladirilor publice din Municipiul Craiova - Școala Gimnazială Al. Macedonski - corp clădire C1 (PNRR)</t>
  </si>
  <si>
    <t>Renovare energetica moderată a cladirilor publice din Municipiul Craiova - Gradinița Floare de Colţ - corp de clădire C1 (PNRR)</t>
  </si>
  <si>
    <t>Renovare energetica moderată a cladirilor publice din Municipiul Craiova - Gradinița cu PP Petrache Poenaru - corp de clădire C1 (PNRR)</t>
  </si>
  <si>
    <t>Renovare energetica moderată a cladirilor publice din Municipiul Craiova - Grădinița Sfanta Lucia - corp de clădire C1 (PNRR)</t>
  </si>
  <si>
    <t>42.02.89.01 - Finantare nationala</t>
  </si>
  <si>
    <t>Total cap. 65.02</t>
  </si>
  <si>
    <t>Cap. 66.02.  (Sănătate)</t>
  </si>
  <si>
    <t>66.02.06.01</t>
  </si>
  <si>
    <t>Cresterea eficientei energetice a cladirilor publice din Municipiul Craiova apartinand sectorului Sanatate, Spitalul Clinic de Boli Infectioase si Pneumoftiziologie Victor Babes Craiova</t>
  </si>
  <si>
    <t>Reabilitare corp C1 – Ambulatoriu Pavilion A, extindere cu lift exterior si amplasare rampa de gunoi (colectare selectiva) la Spitalul Clinic Municipal Filantropia din Municipiul Craiova</t>
  </si>
  <si>
    <t xml:space="preserve"> Cresterea sigurantei pacientilor in cadrul Spitalului Clinic de Neuropsihiatrie Craiova – Reabilitarea si extinderea instalatiei electrice, de fluide medicale, sisteme de detectare, semnalizare si alarmare incendii si sisteme de detectare, semnalizare si alarmare in cazul depasirii concentratiei maxime admise de oxigen</t>
  </si>
  <si>
    <t>Masuri de reducere a riscului de infectii nosocomiale in cadrul Spitalului Clinic de Neuropsihiatrie Craiova (PNRR)</t>
  </si>
  <si>
    <t>Creșterea siguranței pacienților în cadrul Spitalului Clinic Municipal Filantropia Craiova – Reabilitarea si extinderea instalatiei electrice, ventilare si tratare a aerului, fluide medicale; detectare, semnalizare si alarmare incendii in cazul depasirii concentratiei maxime de oxigen</t>
  </si>
  <si>
    <t>Masuri de reducere a riscului de infectii nosocomiale in cadrul Spitalului Clinic Municipal Filantropia Craiova  (PNRR)</t>
  </si>
  <si>
    <t>Dotarea cabinetelor de asistenta medicala ambulatorie din cadrul Spitalului Clinic Municipal Filantropia Craiova si infiintarea de noi specialitati/cabinete de asistenta medicala ambulatorie (PNRR)</t>
  </si>
  <si>
    <t>Total cap. 66.02</t>
  </si>
  <si>
    <t>Cap. 67.02.  (Cultura, recreere si religie)</t>
  </si>
  <si>
    <t>67.02.03.12</t>
  </si>
  <si>
    <t xml:space="preserve">Conservarea, protejarea, promovarea si dezvoltarea patrimoniului national si cultural - Casa Rusănescu (Casa Casatoriilor) </t>
  </si>
  <si>
    <t>Amenajarea de parcuri si gradini in municipiul Craiova - Parcul Nicolae Romanescu</t>
  </si>
  <si>
    <t>42.02.62</t>
  </si>
  <si>
    <t>Total cap. 67.02</t>
  </si>
  <si>
    <t>Cap. 70.02.  (Loc., serv. si dezv. Publica)</t>
  </si>
  <si>
    <t>70.02.50</t>
  </si>
  <si>
    <t>Promovarea incluziunii sociale și combaterea sărăciei în comunitățile defavorizate din municipiul Craiova – faza II – Zona Fantâna Popova</t>
  </si>
  <si>
    <t>Document de Planificare Urbana in format diGital pentru Municipiul Craiova - PUG Craiova (PNRR)</t>
  </si>
  <si>
    <t>70.02.03.30</t>
  </si>
  <si>
    <t>Renovare enerGetica a cladirilor REzidENtiale din Municipiul Craiova- GREEN-1 (PNRR)</t>
  </si>
  <si>
    <t>Renovare enerGetica a cladirilor REzidENtiale din Municipiul Craiova- GREEN-2 (PNRR)</t>
  </si>
  <si>
    <t>42.02.91.01</t>
  </si>
  <si>
    <t>42.02.91.02</t>
  </si>
  <si>
    <t>42.02.91.03</t>
  </si>
  <si>
    <t>Renovare enerGetica a cladirilor REzidENtiale din Municipiul Craiova - GREEN-3  (PNRR)</t>
  </si>
  <si>
    <t>Renovare enerGetica a cladirilor REzidENtiale din Municipiul Craiova- GREEN-4 (PNRR)</t>
  </si>
  <si>
    <t>Cresterea Eficientei Energetice in cadrul cladirilor RezidenTiale din Municipiul Craiova - CEERT L4</t>
  </si>
  <si>
    <t xml:space="preserve">Cresterea Eficientei Energetice in cadrul cladirilor RezidenTiale din Municipiul Craiova - CEERT L5 </t>
  </si>
  <si>
    <t>Creșterea eficienței energetice în cadrul clădirilor rezidențiale din Municipiul Craiova - CEERT L4.1</t>
  </si>
  <si>
    <t>Creșterea eficienței energetice în cadrul clădirilor rezidențiale din Municipiul Craiova - CEERT L5.1</t>
  </si>
  <si>
    <t>Total cap. 70.02</t>
  </si>
  <si>
    <t>Cap. 74.02. (Protectia mediului )</t>
  </si>
  <si>
    <t>74.02.05.02</t>
  </si>
  <si>
    <t>Modernizarea sistemelor de gestionare a deseurilor in Municipiul Craiova prin  construirea de insule ecologice digitalizate</t>
  </si>
  <si>
    <t>Total cap. 74.02</t>
  </si>
  <si>
    <t>Cap. 80.02.  (Actiuni generale economice, comerciale si de munca)</t>
  </si>
  <si>
    <t>80.02.01.30</t>
  </si>
  <si>
    <t>CAMELOT: Cities And Metropolis in Europe Labouring Onward Together (Orașe și metropole in Europa lucrand mai departe impreuna)</t>
  </si>
  <si>
    <t>58.15.01</t>
  </si>
  <si>
    <t>58.15.02</t>
  </si>
  <si>
    <t>58.15.03</t>
  </si>
  <si>
    <t>48.02.15.01</t>
  </si>
  <si>
    <t>48.02.15.02</t>
  </si>
  <si>
    <t>Total cap. 80.02</t>
  </si>
  <si>
    <t>Cap. 84.02 (Transporturi)</t>
  </si>
  <si>
    <t>84.02.03.02</t>
  </si>
  <si>
    <t xml:space="preserve">Proiect Integrat de Modernizare a Sistemului de Transport Public  cu Tramvaiul In Municipiul Craiova - MOTRIC T1: Componenta Modernizarea caii de tramvai (in cale proprie) de pe str. Henry Ford in zona industriala Ford si Extinderea sistemului de management al traficului prin integrarea de noi intersectii sema-forizate cu functio-narea in regim adaptiv si sistem de comunicatii (Etapa 1, Faza 3); Componenta Extinderea sistemului de management al traficului prin integra-rea de noi intersectii semaforizate cu functionarea in regim adaptiv si sistem de comunicatii (Etapa 1, Faza 1 + Etapa 1, Faza 2); Componenta Modernizare depou si Modernizarea statiilor de redresare pentru alimentarea electrica a tramvaielor - Faza 1 - Modernizare statii de redresare si echipamente aferente </t>
  </si>
  <si>
    <t>Modernizarea căii de tramvai (în cale proprie) de pe Calea Severinului, în zona industrială Cernele de Sus – Faza 1 si Faza 2</t>
  </si>
  <si>
    <t xml:space="preserve">Modernizare depou si Modernizarea statiilor de redresare pentru alimentarea electrica a tramvaielor - Faza 2 - Modernizare depou tramvaie </t>
  </si>
  <si>
    <t xml:space="preserve">Achiziţie de mijloace de transport public - tramvaie (25m, 17 buc, Craiova) - parteneriat MDRAP </t>
  </si>
  <si>
    <t xml:space="preserve">Proiect Integrat de Modernizare a Sistemului de Transport Public  cu Autobuzele  In Municipiul Craiova - MOTRIC A: Componenta Extinderea sistemului de management al traficului prin integrarea de noi intersectii semaforizate cu functionarea in regim adaptiv si sistem de comunicatii (Etapa 1, Faza 4) si Reorganizarea circulatiei in zona centrala (Etapa 2, Faza 4), Componenta Innoirea parcului de vehicule de trans-port public urban - Achizitia de autobuze noi - Faza 2 + Faza 3 + Faza 4 (16 buc) </t>
  </si>
  <si>
    <t>Innoirea parcului de vehicule de transport public urban - Achizitia de autobuze noi - Faza 1 (30 buc)</t>
  </si>
  <si>
    <t>84.02.03.01</t>
  </si>
  <si>
    <t>Sprijin la nivelul regiunii Sud- Vest Oltenia  pentru pregătirea de proiecte finanțate din  perioada de programare 2021-2027 pe domeniile mobilitate urbană, regenerare urbană, tabere școlare, infrastructura si servicii publice de turism și infrastructură rutieră de interes județean in vederea finantarii documentatiilor tehnico-economice aferente obiectivului de investitii „Amenajarea unui coridor de mobilitate urbană în zona de Nord-Est a municipiului Craiova, tronson Pasaj Gârlești – str. Mălinului˝</t>
  </si>
  <si>
    <t>Modernizarea sistemului de TRansportpublIC cu autobuzul in zona Metropolitana Craiova - MOTRIC Metropolitan (PNRR – C10)</t>
  </si>
  <si>
    <t>Total cap. 84.02</t>
  </si>
  <si>
    <t>TOTAL GENERAL</t>
  </si>
  <si>
    <t>42.02.69 – Subvenţii de la bugetul de stat către bugetele locale necesare susţinerii derulării proiectelor finanţate din fonduri externe nerambursabile (FEN) postaderare aferente perioadei de programare 2014-2020****)</t>
  </si>
  <si>
    <t>48.02.01.01 - Sume FEN primite in contul platilor efectuate in anul curent</t>
  </si>
  <si>
    <t>48.02.01.02 - Sume FEN primite in contul platilor efectuate in anii anteriori</t>
  </si>
  <si>
    <t>42.02.62 - Sume alocate din bugetul de stat aferente corecţiilor financiare</t>
  </si>
  <si>
    <t>Alocări de sume din PNRR aferente componentei împrumuturi ( cod 42.02.89.01 la 42.02.89.03)</t>
  </si>
  <si>
    <t>Alocări de sume din PNRR aferente asistenței financiare nerambursabile ( cod 42.02.88 01 la 42.02.88.03)</t>
  </si>
  <si>
    <t>42.02.88.01 - Fonduri europene nerambursabile</t>
  </si>
  <si>
    <t>42.02.88.03 - Sume aferente TVA</t>
  </si>
  <si>
    <t>48.02.01.03 - Sume FEN Prefinantari</t>
  </si>
  <si>
    <t>TOTAL</t>
  </si>
  <si>
    <t>PRESEDINTE DE SEDINTA</t>
  </si>
  <si>
    <t>OCTAVIAN SORIN MARINESCU</t>
  </si>
  <si>
    <t>Anexa nr 28</t>
  </si>
  <si>
    <t>la Hotararea nr 252/25.05.2023</t>
  </si>
</sst>
</file>

<file path=xl/styles.xml><?xml version="1.0" encoding="utf-8"?>
<styleSheet xmlns="http://schemas.openxmlformats.org/spreadsheetml/2006/main">
  <numFmts count="9">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0_);\(#,##0\)"/>
  </numFmts>
  <fonts count="51">
    <font>
      <sz val="11"/>
      <color indexed="8"/>
      <name val="Calibri"/>
      <family val="2"/>
    </font>
    <font>
      <sz val="10"/>
      <name val="Arial"/>
      <family val="0"/>
    </font>
    <font>
      <sz val="10"/>
      <name val="Trebuchet MS"/>
      <family val="2"/>
    </font>
    <font>
      <sz val="10"/>
      <color indexed="8"/>
      <name val="Trebuchet MS"/>
      <family val="2"/>
    </font>
    <font>
      <b/>
      <sz val="10"/>
      <name val="Trebuchet MS"/>
      <family val="2"/>
    </font>
    <font>
      <b/>
      <sz val="14"/>
      <name val="Trebuchet MS"/>
      <family val="2"/>
    </font>
    <font>
      <b/>
      <sz val="10"/>
      <name val="Arial"/>
      <family val="2"/>
    </font>
    <font>
      <b/>
      <sz val="10"/>
      <color indexed="9"/>
      <name val="Trebuchet MS"/>
      <family val="2"/>
    </font>
    <font>
      <b/>
      <sz val="10"/>
      <color indexed="8"/>
      <name val="Trebuchet MS"/>
      <family val="2"/>
    </font>
    <font>
      <b/>
      <sz val="10"/>
      <color indexed="8"/>
      <name val="Arial"/>
      <family val="2"/>
    </font>
    <font>
      <sz val="10"/>
      <color indexed="9"/>
      <name val="Trebuchet MS"/>
      <family val="2"/>
    </font>
    <font>
      <b/>
      <sz val="9"/>
      <color indexed="8"/>
      <name val="Tahoma"/>
      <family val="2"/>
    </font>
    <font>
      <sz val="9"/>
      <color indexed="8"/>
      <name val="Tahoma"/>
      <family val="2"/>
    </font>
    <font>
      <i/>
      <sz val="11"/>
      <color indexed="8"/>
      <name val="Calibri"/>
      <family val="2"/>
    </font>
    <font>
      <b/>
      <sz val="11"/>
      <color indexed="8"/>
      <name val="Calibri"/>
      <family val="2"/>
    </font>
    <font>
      <b/>
      <i/>
      <sz val="10"/>
      <name val="Trebuchet MS"/>
      <family val="2"/>
    </font>
    <font>
      <b/>
      <i/>
      <sz val="10"/>
      <color indexed="8"/>
      <name val="Trebuchet MS"/>
      <family val="2"/>
    </font>
    <font>
      <i/>
      <sz val="10"/>
      <color indexed="8"/>
      <name val="Trebuchet MS"/>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hair">
        <color indexed="8"/>
      </left>
      <right style="hair">
        <color indexed="8"/>
      </right>
      <top style="hair">
        <color indexed="8"/>
      </top>
      <bottom style="hair">
        <color indexed="8"/>
      </bottom>
    </border>
    <border>
      <left style="hair">
        <color indexed="8"/>
      </left>
      <right style="hair">
        <color indexed="8"/>
      </right>
      <top style="hair">
        <color indexed="8"/>
      </top>
      <bottom>
        <color indexed="63"/>
      </bottom>
    </border>
    <border>
      <left style="hair">
        <color indexed="8"/>
      </left>
      <right style="hair">
        <color indexed="8"/>
      </right>
      <top>
        <color indexed="63"/>
      </top>
      <bottom>
        <color indexed="63"/>
      </bottom>
    </border>
    <border>
      <left style="hair">
        <color indexed="8"/>
      </left>
      <right style="hair">
        <color indexed="8"/>
      </right>
      <top>
        <color indexed="63"/>
      </top>
      <bottom style="hair">
        <color indexed="8"/>
      </bottom>
    </border>
    <border>
      <left>
        <color indexed="63"/>
      </left>
      <right style="hair">
        <color indexed="8"/>
      </right>
      <top style="hair">
        <color indexed="8"/>
      </top>
      <bottom style="hair">
        <color indexed="8"/>
      </bottom>
    </border>
    <border>
      <left style="hair">
        <color indexed="8"/>
      </left>
      <right>
        <color indexed="63"/>
      </right>
      <top style="hair">
        <color indexed="8"/>
      </top>
      <bottom style="hair">
        <color indexed="8"/>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0" borderId="2" applyNumberFormat="0" applyFill="0" applyAlignment="0" applyProtection="0"/>
    <xf numFmtId="0" fontId="38" fillId="28" borderId="0" applyNumberFormat="0" applyBorder="0" applyAlignment="0" applyProtection="0"/>
    <xf numFmtId="0" fontId="39" fillId="27" borderId="3" applyNumberFormat="0" applyAlignment="0" applyProtection="0"/>
    <xf numFmtId="0" fontId="40" fillId="29" borderId="1" applyNumberFormat="0" applyAlignment="0" applyProtection="0"/>
    <xf numFmtId="44" fontId="1" fillId="0" borderId="0" applyFill="0" applyBorder="0" applyAlignment="0" applyProtection="0"/>
    <xf numFmtId="42" fontId="1" fillId="0" borderId="0" applyFill="0" applyBorder="0" applyAlignment="0" applyProtection="0"/>
    <xf numFmtId="0" fontId="41" fillId="30" borderId="0" applyNumberFormat="0" applyBorder="0" applyAlignment="0" applyProtection="0"/>
    <xf numFmtId="0" fontId="0" fillId="31" borderId="4" applyNumberFormat="0" applyFont="0" applyAlignment="0" applyProtection="0"/>
    <xf numFmtId="9" fontId="1" fillId="0" borderId="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2" borderId="9" applyNumberFormat="0" applyAlignment="0" applyProtection="0"/>
    <xf numFmtId="43" fontId="1" fillId="0" borderId="0" applyFill="0" applyBorder="0" applyAlignment="0" applyProtection="0"/>
    <xf numFmtId="41" fontId="1" fillId="0" borderId="0" applyFill="0" applyBorder="0" applyAlignment="0" applyProtection="0"/>
  </cellStyleXfs>
  <cellXfs count="186">
    <xf numFmtId="0" fontId="0" fillId="0" borderId="0" xfId="0" applyAlignment="1">
      <alignment/>
    </xf>
    <xf numFmtId="0" fontId="2" fillId="0" borderId="0" xfId="0" applyFont="1" applyFill="1" applyAlignment="1">
      <alignment/>
    </xf>
    <xf numFmtId="0" fontId="2" fillId="33" borderId="0" xfId="0" applyFont="1" applyFill="1" applyAlignment="1">
      <alignment/>
    </xf>
    <xf numFmtId="0" fontId="3" fillId="0" borderId="0" xfId="0" applyFont="1" applyFill="1" applyAlignment="1">
      <alignment/>
    </xf>
    <xf numFmtId="0" fontId="1" fillId="0" borderId="0" xfId="0" applyFont="1" applyFill="1" applyAlignment="1">
      <alignment/>
    </xf>
    <xf numFmtId="0" fontId="4" fillId="0" borderId="0" xfId="0" applyFont="1" applyFill="1" applyBorder="1" applyAlignment="1">
      <alignment/>
    </xf>
    <xf numFmtId="0" fontId="4" fillId="0" borderId="0" xfId="0" applyFont="1" applyFill="1" applyBorder="1" applyAlignment="1">
      <alignment horizontal="right" wrapText="1"/>
    </xf>
    <xf numFmtId="164" fontId="2" fillId="0" borderId="0" xfId="0" applyNumberFormat="1" applyFont="1" applyFill="1" applyAlignment="1">
      <alignment horizontal="right"/>
    </xf>
    <xf numFmtId="0" fontId="5" fillId="0" borderId="0" xfId="0" applyFont="1" applyFill="1" applyBorder="1" applyAlignment="1">
      <alignment horizontal="center" vertical="center" wrapText="1"/>
    </xf>
    <xf numFmtId="0" fontId="5" fillId="33" borderId="0" xfId="0" applyFont="1" applyFill="1" applyBorder="1" applyAlignment="1">
      <alignment horizontal="center" vertical="center" wrapText="1"/>
    </xf>
    <xf numFmtId="0" fontId="2" fillId="0" borderId="0" xfId="0" applyFont="1" applyFill="1" applyAlignment="1">
      <alignment wrapText="1"/>
    </xf>
    <xf numFmtId="49" fontId="4" fillId="0" borderId="0" xfId="0" applyNumberFormat="1" applyFont="1" applyFill="1" applyAlignment="1">
      <alignment horizontal="center"/>
    </xf>
    <xf numFmtId="0" fontId="4" fillId="0" borderId="0" xfId="0" applyFont="1" applyFill="1" applyAlignment="1">
      <alignment horizontal="center"/>
    </xf>
    <xf numFmtId="0" fontId="2" fillId="0" borderId="0" xfId="0" applyFont="1" applyFill="1" applyAlignment="1">
      <alignment vertical="center" wrapText="1"/>
    </xf>
    <xf numFmtId="0" fontId="2" fillId="33" borderId="0" xfId="0" applyFont="1" applyFill="1" applyAlignment="1">
      <alignment vertical="center" wrapText="1"/>
    </xf>
    <xf numFmtId="0" fontId="4" fillId="33" borderId="0" xfId="0" applyFont="1" applyFill="1" applyAlignment="1">
      <alignment horizontal="center"/>
    </xf>
    <xf numFmtId="0" fontId="4" fillId="0" borderId="10" xfId="0" applyFont="1" applyFill="1" applyBorder="1" applyAlignment="1">
      <alignment horizontal="center" vertical="center" wrapText="1"/>
    </xf>
    <xf numFmtId="0" fontId="4" fillId="0" borderId="10" xfId="0" applyFont="1" applyFill="1" applyBorder="1" applyAlignment="1">
      <alignment horizontal="center" vertical="center"/>
    </xf>
    <xf numFmtId="0" fontId="2" fillId="0" borderId="10"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3" fillId="0" borderId="10" xfId="0" applyFont="1" applyFill="1" applyBorder="1" applyAlignment="1">
      <alignment wrapText="1"/>
    </xf>
    <xf numFmtId="0" fontId="4" fillId="0" borderId="0" xfId="0" applyFont="1" applyFill="1" applyAlignment="1">
      <alignment/>
    </xf>
    <xf numFmtId="0" fontId="6" fillId="0" borderId="0" xfId="0" applyFont="1" applyFill="1" applyAlignment="1">
      <alignment/>
    </xf>
    <xf numFmtId="0" fontId="4" fillId="0" borderId="10" xfId="0" applyFont="1" applyFill="1" applyBorder="1" applyAlignment="1">
      <alignment vertical="center" wrapText="1"/>
    </xf>
    <xf numFmtId="0" fontId="4" fillId="33" borderId="10" xfId="0" applyFont="1" applyFill="1" applyBorder="1" applyAlignment="1">
      <alignment horizontal="center" vertical="center" wrapText="1"/>
    </xf>
    <xf numFmtId="0" fontId="4" fillId="33" borderId="10" xfId="0" applyFont="1" applyFill="1" applyBorder="1" applyAlignment="1">
      <alignment horizontal="center" vertical="center"/>
    </xf>
    <xf numFmtId="0" fontId="3" fillId="0" borderId="10" xfId="0" applyFont="1" applyFill="1" applyBorder="1" applyAlignment="1">
      <alignment/>
    </xf>
    <xf numFmtId="0" fontId="7" fillId="0" borderId="0" xfId="0" applyFont="1" applyFill="1" applyAlignment="1">
      <alignment/>
    </xf>
    <xf numFmtId="49" fontId="4" fillId="0" borderId="10" xfId="0" applyNumberFormat="1" applyFont="1" applyFill="1" applyBorder="1" applyAlignment="1">
      <alignment vertical="center" wrapText="1"/>
    </xf>
    <xf numFmtId="0" fontId="4" fillId="0" borderId="10" xfId="0" applyFont="1" applyFill="1" applyBorder="1" applyAlignment="1">
      <alignment horizontal="left" vertical="center" wrapText="1"/>
    </xf>
    <xf numFmtId="3" fontId="4" fillId="0" borderId="10" xfId="0" applyNumberFormat="1" applyFont="1" applyFill="1" applyBorder="1" applyAlignment="1">
      <alignment horizontal="right" vertical="center" wrapText="1"/>
    </xf>
    <xf numFmtId="3" fontId="4" fillId="33" borderId="10" xfId="0" applyNumberFormat="1" applyFont="1" applyFill="1" applyBorder="1" applyAlignment="1">
      <alignment horizontal="right" vertical="center" wrapText="1"/>
    </xf>
    <xf numFmtId="0" fontId="2" fillId="0" borderId="10" xfId="0" applyFont="1" applyFill="1" applyBorder="1" applyAlignment="1">
      <alignment horizontal="right" vertical="center" wrapText="1"/>
    </xf>
    <xf numFmtId="0" fontId="2" fillId="0" borderId="10" xfId="0" applyFont="1" applyFill="1" applyBorder="1" applyAlignment="1">
      <alignment horizontal="left" wrapText="1"/>
    </xf>
    <xf numFmtId="3" fontId="2" fillId="0" borderId="10" xfId="0" applyNumberFormat="1" applyFont="1" applyFill="1" applyBorder="1" applyAlignment="1">
      <alignment horizontal="right" vertical="center" wrapText="1"/>
    </xf>
    <xf numFmtId="3" fontId="2" fillId="33" borderId="10" xfId="0" applyNumberFormat="1" applyFont="1" applyFill="1" applyBorder="1" applyAlignment="1">
      <alignment horizontal="right" vertical="center" wrapText="1"/>
    </xf>
    <xf numFmtId="3" fontId="2" fillId="0" borderId="10" xfId="0" applyNumberFormat="1" applyFont="1" applyFill="1" applyBorder="1" applyAlignment="1">
      <alignment horizontal="right" vertical="center"/>
    </xf>
    <xf numFmtId="3" fontId="2" fillId="33" borderId="10" xfId="0" applyNumberFormat="1" applyFont="1" applyFill="1" applyBorder="1" applyAlignment="1">
      <alignment horizontal="right" vertical="center"/>
    </xf>
    <xf numFmtId="49" fontId="2" fillId="0" borderId="10" xfId="0" applyNumberFormat="1" applyFont="1" applyFill="1" applyBorder="1" applyAlignment="1">
      <alignment horizontal="right" vertical="center" wrapText="1"/>
    </xf>
    <xf numFmtId="49" fontId="2" fillId="0" borderId="10" xfId="0" applyNumberFormat="1" applyFont="1" applyFill="1" applyBorder="1" applyAlignment="1">
      <alignment horizontal="right" vertical="center" wrapText="1"/>
    </xf>
    <xf numFmtId="49" fontId="4" fillId="0" borderId="10" xfId="0" applyNumberFormat="1" applyFont="1" applyFill="1" applyBorder="1" applyAlignment="1">
      <alignment horizontal="right" vertical="center" wrapText="1"/>
    </xf>
    <xf numFmtId="0" fontId="3" fillId="0" borderId="10" xfId="0" applyFont="1" applyFill="1" applyBorder="1" applyAlignment="1">
      <alignment vertical="center" wrapText="1"/>
    </xf>
    <xf numFmtId="3" fontId="4" fillId="0" borderId="10" xfId="0" applyNumberFormat="1" applyFont="1" applyFill="1" applyBorder="1" applyAlignment="1">
      <alignment vertical="center" wrapText="1"/>
    </xf>
    <xf numFmtId="3" fontId="4" fillId="33" borderId="10" xfId="0" applyNumberFormat="1" applyFont="1" applyFill="1" applyBorder="1" applyAlignment="1">
      <alignment vertical="center" wrapText="1"/>
    </xf>
    <xf numFmtId="0" fontId="2" fillId="0" borderId="10" xfId="0" applyFont="1" applyFill="1" applyBorder="1" applyAlignment="1">
      <alignment horizontal="right" vertical="center" wrapText="1"/>
    </xf>
    <xf numFmtId="0" fontId="2" fillId="0" borderId="11" xfId="0" applyFont="1" applyFill="1" applyBorder="1" applyAlignment="1">
      <alignment vertical="top" wrapText="1"/>
    </xf>
    <xf numFmtId="3" fontId="2" fillId="0" borderId="10" xfId="0" applyNumberFormat="1" applyFont="1" applyFill="1" applyBorder="1" applyAlignment="1">
      <alignment vertical="center" wrapText="1"/>
    </xf>
    <xf numFmtId="0" fontId="2" fillId="0" borderId="12" xfId="0" applyFont="1" applyFill="1" applyBorder="1" applyAlignment="1">
      <alignment vertical="top" wrapText="1"/>
    </xf>
    <xf numFmtId="0" fontId="2" fillId="0" borderId="13" xfId="0" applyFont="1" applyFill="1" applyBorder="1" applyAlignment="1">
      <alignment vertical="top" wrapText="1"/>
    </xf>
    <xf numFmtId="0" fontId="8" fillId="0" borderId="0" xfId="0" applyFont="1" applyFill="1" applyAlignment="1">
      <alignment/>
    </xf>
    <xf numFmtId="49" fontId="3" fillId="0" borderId="10" xfId="0" applyNumberFormat="1" applyFont="1" applyFill="1" applyBorder="1" applyAlignment="1">
      <alignment horizontal="right" vertical="center" wrapText="1"/>
    </xf>
    <xf numFmtId="0" fontId="8" fillId="0" borderId="10" xfId="0" applyFont="1" applyFill="1" applyBorder="1" applyAlignment="1">
      <alignment vertical="center" wrapText="1"/>
    </xf>
    <xf numFmtId="3" fontId="3" fillId="0" borderId="10" xfId="0" applyNumberFormat="1" applyFont="1" applyFill="1" applyBorder="1" applyAlignment="1">
      <alignment vertical="center" wrapText="1"/>
    </xf>
    <xf numFmtId="0" fontId="9" fillId="0" borderId="0" xfId="0" applyFont="1" applyFill="1" applyAlignment="1">
      <alignment/>
    </xf>
    <xf numFmtId="3" fontId="2" fillId="33" borderId="10" xfId="0" applyNumberFormat="1" applyFont="1" applyFill="1" applyBorder="1" applyAlignment="1">
      <alignment vertical="center" wrapText="1"/>
    </xf>
    <xf numFmtId="0" fontId="2" fillId="0" borderId="11" xfId="0" applyFont="1" applyFill="1" applyBorder="1" applyAlignment="1">
      <alignment vertical="center"/>
    </xf>
    <xf numFmtId="0" fontId="2" fillId="0" borderId="12" xfId="0" applyFont="1" applyFill="1" applyBorder="1" applyAlignment="1">
      <alignment vertical="center"/>
    </xf>
    <xf numFmtId="0" fontId="2" fillId="0" borderId="13" xfId="0" applyFont="1" applyFill="1" applyBorder="1" applyAlignment="1">
      <alignment vertical="center"/>
    </xf>
    <xf numFmtId="0" fontId="2" fillId="0" borderId="11" xfId="0" applyFont="1" applyFill="1" applyBorder="1" applyAlignment="1">
      <alignment vertical="top"/>
    </xf>
    <xf numFmtId="0" fontId="2" fillId="0" borderId="12" xfId="0" applyFont="1" applyFill="1" applyBorder="1" applyAlignment="1">
      <alignment vertical="top"/>
    </xf>
    <xf numFmtId="0" fontId="2" fillId="0" borderId="13" xfId="0" applyFont="1" applyFill="1" applyBorder="1" applyAlignment="1">
      <alignment vertical="top"/>
    </xf>
    <xf numFmtId="3" fontId="3" fillId="0" borderId="10" xfId="0" applyNumberFormat="1" applyFont="1" applyFill="1" applyBorder="1" applyAlignment="1">
      <alignment horizontal="right" vertical="center" wrapText="1"/>
    </xf>
    <xf numFmtId="3" fontId="3" fillId="33" borderId="10" xfId="0" applyNumberFormat="1" applyFont="1" applyFill="1" applyBorder="1" applyAlignment="1">
      <alignment horizontal="right" vertical="center" wrapText="1"/>
    </xf>
    <xf numFmtId="3" fontId="3" fillId="0" borderId="10" xfId="0" applyNumberFormat="1" applyFont="1" applyFill="1" applyBorder="1" applyAlignment="1">
      <alignment horizontal="right" vertical="center"/>
    </xf>
    <xf numFmtId="3" fontId="3" fillId="33" borderId="10" xfId="0" applyNumberFormat="1" applyFont="1" applyFill="1" applyBorder="1" applyAlignment="1">
      <alignment horizontal="right" vertical="center"/>
    </xf>
    <xf numFmtId="3" fontId="3" fillId="33" borderId="10" xfId="0" applyNumberFormat="1" applyFont="1" applyFill="1" applyBorder="1" applyAlignment="1">
      <alignment vertical="center" wrapText="1"/>
    </xf>
    <xf numFmtId="3" fontId="3" fillId="0" borderId="10" xfId="0" applyNumberFormat="1" applyFont="1" applyFill="1" applyBorder="1" applyAlignment="1">
      <alignment/>
    </xf>
    <xf numFmtId="3" fontId="3" fillId="33" borderId="10" xfId="0" applyNumberFormat="1" applyFont="1" applyFill="1" applyBorder="1" applyAlignment="1">
      <alignment/>
    </xf>
    <xf numFmtId="3" fontId="0" fillId="0" borderId="10" xfId="0" applyNumberFormat="1" applyFill="1" applyBorder="1" applyAlignment="1">
      <alignment vertical="center"/>
    </xf>
    <xf numFmtId="3" fontId="0" fillId="33" borderId="10" xfId="0" applyNumberFormat="1" applyFill="1" applyBorder="1" applyAlignment="1">
      <alignment vertical="center"/>
    </xf>
    <xf numFmtId="3" fontId="4" fillId="0" borderId="10" xfId="0" applyNumberFormat="1" applyFont="1" applyFill="1" applyBorder="1" applyAlignment="1">
      <alignment horizontal="right" vertical="center" wrapText="1"/>
    </xf>
    <xf numFmtId="3" fontId="4" fillId="33" borderId="10" xfId="0" applyNumberFormat="1" applyFont="1" applyFill="1" applyBorder="1" applyAlignment="1">
      <alignment horizontal="right" vertical="center" wrapText="1"/>
    </xf>
    <xf numFmtId="3" fontId="4" fillId="0" borderId="10" xfId="0" applyNumberFormat="1" applyFont="1" applyFill="1" applyBorder="1" applyAlignment="1">
      <alignment horizontal="right" vertical="center"/>
    </xf>
    <xf numFmtId="3" fontId="4" fillId="33" borderId="10" xfId="0" applyNumberFormat="1" applyFont="1" applyFill="1" applyBorder="1" applyAlignment="1">
      <alignment horizontal="right" vertical="center"/>
    </xf>
    <xf numFmtId="3" fontId="4" fillId="0" borderId="10" xfId="0" applyNumberFormat="1" applyFont="1" applyFill="1" applyBorder="1" applyAlignment="1">
      <alignment horizontal="right" vertical="center"/>
    </xf>
    <xf numFmtId="3" fontId="4" fillId="33" borderId="10" xfId="0" applyNumberFormat="1" applyFont="1" applyFill="1" applyBorder="1" applyAlignment="1">
      <alignment horizontal="right" vertical="center"/>
    </xf>
    <xf numFmtId="0" fontId="4" fillId="0" borderId="10" xfId="0" applyFont="1" applyFill="1" applyBorder="1" applyAlignment="1">
      <alignment vertical="center" wrapText="1"/>
    </xf>
    <xf numFmtId="0" fontId="2" fillId="0" borderId="0" xfId="0" applyFont="1" applyFill="1" applyAlignment="1">
      <alignment vertical="center"/>
    </xf>
    <xf numFmtId="0" fontId="2" fillId="0" borderId="0" xfId="0" applyFont="1" applyFill="1" applyAlignment="1">
      <alignment vertical="center"/>
    </xf>
    <xf numFmtId="0" fontId="2" fillId="0" borderId="0" xfId="0" applyFont="1" applyFill="1" applyAlignment="1">
      <alignment/>
    </xf>
    <xf numFmtId="0" fontId="2" fillId="0" borderId="11" xfId="0" applyFont="1" applyFill="1" applyBorder="1" applyAlignment="1">
      <alignment vertical="center" wrapText="1"/>
    </xf>
    <xf numFmtId="3" fontId="2" fillId="0" borderId="10" xfId="0" applyNumberFormat="1" applyFont="1" applyFill="1" applyBorder="1" applyAlignment="1">
      <alignment vertical="center" wrapText="1"/>
    </xf>
    <xf numFmtId="3" fontId="2" fillId="33" borderId="10" xfId="0" applyNumberFormat="1" applyFont="1" applyFill="1" applyBorder="1" applyAlignment="1">
      <alignment vertical="center" wrapText="1"/>
    </xf>
    <xf numFmtId="0" fontId="0" fillId="0" borderId="0" xfId="0" applyFill="1" applyAlignment="1">
      <alignment/>
    </xf>
    <xf numFmtId="0" fontId="2" fillId="0" borderId="12" xfId="0" applyFont="1" applyFill="1" applyBorder="1" applyAlignment="1">
      <alignment vertical="center" wrapText="1"/>
    </xf>
    <xf numFmtId="0" fontId="2" fillId="0" borderId="13" xfId="0" applyFont="1" applyFill="1" applyBorder="1" applyAlignment="1">
      <alignment vertical="center" wrapText="1"/>
    </xf>
    <xf numFmtId="0" fontId="2" fillId="0" borderId="10" xfId="0" applyFont="1" applyFill="1" applyBorder="1" applyAlignment="1">
      <alignment horizontal="left" vertical="center" wrapText="1"/>
    </xf>
    <xf numFmtId="0" fontId="10" fillId="0" borderId="0" xfId="0" applyFont="1" applyFill="1" applyAlignment="1">
      <alignment vertical="center"/>
    </xf>
    <xf numFmtId="3" fontId="8" fillId="0" borderId="10" xfId="0" applyNumberFormat="1" applyFont="1" applyFill="1" applyBorder="1" applyAlignment="1">
      <alignment vertical="center" wrapText="1"/>
    </xf>
    <xf numFmtId="3" fontId="8" fillId="33" borderId="10" xfId="0" applyNumberFormat="1" applyFont="1" applyFill="1" applyBorder="1" applyAlignment="1">
      <alignment vertical="center" wrapText="1"/>
    </xf>
    <xf numFmtId="0" fontId="7" fillId="0" borderId="0" xfId="0" applyFont="1" applyFill="1" applyAlignment="1">
      <alignment vertical="center"/>
    </xf>
    <xf numFmtId="0" fontId="4" fillId="0" borderId="0" xfId="0" applyFont="1" applyFill="1" applyAlignment="1">
      <alignment vertical="center"/>
    </xf>
    <xf numFmtId="0" fontId="4" fillId="0" borderId="0" xfId="0" applyFont="1" applyFill="1" applyAlignment="1">
      <alignment/>
    </xf>
    <xf numFmtId="3" fontId="3" fillId="0" borderId="10" xfId="0" applyNumberFormat="1" applyFont="1" applyFill="1" applyBorder="1" applyAlignment="1">
      <alignment vertical="center" wrapText="1"/>
    </xf>
    <xf numFmtId="3" fontId="3" fillId="33" borderId="10" xfId="0" applyNumberFormat="1" applyFont="1" applyFill="1" applyBorder="1" applyAlignment="1">
      <alignment vertical="center" wrapText="1"/>
    </xf>
    <xf numFmtId="0" fontId="3" fillId="0" borderId="10" xfId="0" applyFont="1" applyFill="1" applyBorder="1" applyAlignment="1">
      <alignment horizontal="left" vertical="center" wrapText="1"/>
    </xf>
    <xf numFmtId="0" fontId="3" fillId="0" borderId="0" xfId="0" applyFont="1" applyFill="1" applyAlignment="1">
      <alignment vertical="center"/>
    </xf>
    <xf numFmtId="0" fontId="3" fillId="0" borderId="0" xfId="0" applyFont="1" applyFill="1" applyAlignment="1">
      <alignment vertical="center"/>
    </xf>
    <xf numFmtId="0" fontId="3" fillId="0" borderId="0" xfId="0" applyFont="1" applyFill="1" applyAlignment="1">
      <alignment/>
    </xf>
    <xf numFmtId="3" fontId="2" fillId="0" borderId="0" xfId="0" applyNumberFormat="1" applyFont="1" applyFill="1" applyAlignment="1">
      <alignment vertical="center"/>
    </xf>
    <xf numFmtId="3" fontId="2" fillId="0" borderId="0" xfId="0" applyNumberFormat="1" applyFont="1" applyFill="1" applyAlignment="1">
      <alignment vertical="center"/>
    </xf>
    <xf numFmtId="3" fontId="10" fillId="0" borderId="0" xfId="0" applyNumberFormat="1" applyFont="1" applyFill="1" applyAlignment="1">
      <alignment vertical="center"/>
    </xf>
    <xf numFmtId="3" fontId="7" fillId="0" borderId="0" xfId="0" applyNumberFormat="1" applyFont="1" applyFill="1" applyAlignment="1">
      <alignment vertical="center"/>
    </xf>
    <xf numFmtId="3" fontId="4" fillId="0" borderId="0" xfId="0" applyNumberFormat="1" applyFont="1" applyFill="1" applyAlignment="1">
      <alignment vertical="center"/>
    </xf>
    <xf numFmtId="3" fontId="3" fillId="0" borderId="0" xfId="0" applyNumberFormat="1" applyFont="1" applyFill="1" applyAlignment="1">
      <alignment vertical="center"/>
    </xf>
    <xf numFmtId="3" fontId="3" fillId="0" borderId="0" xfId="0" applyNumberFormat="1" applyFont="1" applyFill="1" applyAlignment="1">
      <alignment vertical="center"/>
    </xf>
    <xf numFmtId="49" fontId="8" fillId="0" borderId="10" xfId="0" applyNumberFormat="1" applyFont="1" applyFill="1" applyBorder="1" applyAlignment="1">
      <alignment horizontal="left" vertical="center" wrapText="1"/>
    </xf>
    <xf numFmtId="0" fontId="8" fillId="0" borderId="10" xfId="0" applyFont="1" applyFill="1" applyBorder="1" applyAlignment="1">
      <alignment horizontal="left" vertical="center" wrapText="1"/>
    </xf>
    <xf numFmtId="3" fontId="8" fillId="0" borderId="10" xfId="0" applyNumberFormat="1" applyFont="1" applyFill="1" applyBorder="1" applyAlignment="1">
      <alignment vertical="center" wrapText="1"/>
    </xf>
    <xf numFmtId="3" fontId="8" fillId="33" borderId="10" xfId="0" applyNumberFormat="1" applyFont="1" applyFill="1" applyBorder="1" applyAlignment="1">
      <alignment vertical="center" wrapText="1"/>
    </xf>
    <xf numFmtId="0" fontId="3" fillId="0" borderId="11" xfId="0" applyFont="1" applyFill="1" applyBorder="1" applyAlignment="1">
      <alignment vertical="top" wrapText="1"/>
    </xf>
    <xf numFmtId="0" fontId="3" fillId="0" borderId="12" xfId="0" applyFont="1" applyFill="1" applyBorder="1" applyAlignment="1">
      <alignment vertical="top" wrapText="1"/>
    </xf>
    <xf numFmtId="0" fontId="3" fillId="0" borderId="13" xfId="0" applyFont="1" applyFill="1" applyBorder="1" applyAlignment="1">
      <alignment vertical="top" wrapText="1"/>
    </xf>
    <xf numFmtId="0" fontId="4" fillId="0" borderId="10" xfId="0" applyFont="1" applyFill="1" applyBorder="1" applyAlignment="1">
      <alignment horizontal="left" vertical="center" wrapText="1"/>
    </xf>
    <xf numFmtId="3" fontId="4" fillId="0" borderId="10" xfId="0" applyNumberFormat="1" applyFont="1" applyFill="1" applyBorder="1" applyAlignment="1">
      <alignment vertical="center" wrapText="1"/>
    </xf>
    <xf numFmtId="3" fontId="4" fillId="33" borderId="10" xfId="0" applyNumberFormat="1" applyFont="1" applyFill="1" applyBorder="1" applyAlignment="1">
      <alignment vertical="center" wrapText="1"/>
    </xf>
    <xf numFmtId="0" fontId="13" fillId="0" borderId="14" xfId="0" applyFont="1" applyFill="1" applyBorder="1" applyAlignment="1">
      <alignment horizontal="right" vertical="center" wrapText="1"/>
    </xf>
    <xf numFmtId="0" fontId="2" fillId="0" borderId="10" xfId="0" applyFont="1" applyFill="1" applyBorder="1" applyAlignment="1">
      <alignment horizontal="right" wrapText="1"/>
    </xf>
    <xf numFmtId="0" fontId="4" fillId="0" borderId="10" xfId="0" applyFont="1" applyFill="1" applyBorder="1" applyAlignment="1">
      <alignment horizontal="right" vertical="center" wrapText="1"/>
    </xf>
    <xf numFmtId="49" fontId="4" fillId="0" borderId="10" xfId="0" applyNumberFormat="1" applyFont="1" applyFill="1" applyBorder="1" applyAlignment="1">
      <alignment horizontal="left" vertical="center" wrapText="1"/>
    </xf>
    <xf numFmtId="0" fontId="14" fillId="0" borderId="14" xfId="0" applyFont="1" applyFill="1" applyBorder="1" applyAlignment="1">
      <alignment horizontal="left" vertical="center" wrapText="1"/>
    </xf>
    <xf numFmtId="3" fontId="2" fillId="0" borderId="10" xfId="0" applyNumberFormat="1" applyFont="1" applyFill="1" applyBorder="1" applyAlignment="1">
      <alignment horizontal="right" vertical="center" wrapText="1"/>
    </xf>
    <xf numFmtId="3" fontId="2" fillId="33" borderId="10" xfId="0" applyNumberFormat="1" applyFont="1" applyFill="1" applyBorder="1" applyAlignment="1">
      <alignment horizontal="right" vertical="center" wrapText="1"/>
    </xf>
    <xf numFmtId="3" fontId="2" fillId="0" borderId="10" xfId="0" applyNumberFormat="1" applyFont="1" applyFill="1" applyBorder="1" applyAlignment="1">
      <alignment vertical="center"/>
    </xf>
    <xf numFmtId="3" fontId="2" fillId="33" borderId="10" xfId="0" applyNumberFormat="1" applyFont="1" applyFill="1" applyBorder="1" applyAlignment="1">
      <alignment vertical="center"/>
    </xf>
    <xf numFmtId="3" fontId="4" fillId="0" borderId="10" xfId="0" applyNumberFormat="1" applyFont="1" applyFill="1" applyBorder="1" applyAlignment="1">
      <alignment vertical="center"/>
    </xf>
    <xf numFmtId="3" fontId="4" fillId="33" borderId="10" xfId="0" applyNumberFormat="1" applyFont="1" applyFill="1" applyBorder="1" applyAlignment="1">
      <alignment vertical="center"/>
    </xf>
    <xf numFmtId="3" fontId="3" fillId="0" borderId="10" xfId="0" applyNumberFormat="1" applyFont="1" applyFill="1" applyBorder="1" applyAlignment="1">
      <alignment horizontal="right" wrapText="1"/>
    </xf>
    <xf numFmtId="0" fontId="2" fillId="0" borderId="10" xfId="0" applyFont="1" applyFill="1" applyBorder="1" applyAlignment="1">
      <alignment horizontal="left" vertical="center" wrapText="1"/>
    </xf>
    <xf numFmtId="49" fontId="4" fillId="0" borderId="10" xfId="0" applyNumberFormat="1" applyFont="1" applyFill="1" applyBorder="1" applyAlignment="1">
      <alignment horizontal="right" vertical="center" wrapText="1"/>
    </xf>
    <xf numFmtId="49" fontId="2" fillId="0" borderId="15" xfId="0" applyNumberFormat="1" applyFont="1" applyFill="1" applyBorder="1" applyAlignment="1">
      <alignment horizontal="right" vertical="center" wrapText="1"/>
    </xf>
    <xf numFmtId="0" fontId="2" fillId="0" borderId="14" xfId="0" applyFont="1" applyFill="1" applyBorder="1" applyAlignment="1">
      <alignment horizontal="left" vertical="center" wrapText="1"/>
    </xf>
    <xf numFmtId="3" fontId="2" fillId="0" borderId="10" xfId="0" applyNumberFormat="1" applyFont="1" applyFill="1" applyBorder="1" applyAlignment="1">
      <alignment vertical="center"/>
    </xf>
    <xf numFmtId="3" fontId="2" fillId="33" borderId="10" xfId="0" applyNumberFormat="1" applyFont="1" applyFill="1" applyBorder="1" applyAlignment="1">
      <alignment vertical="center"/>
    </xf>
    <xf numFmtId="3" fontId="0" fillId="0" borderId="10" xfId="0" applyNumberFormat="1" applyFill="1" applyBorder="1" applyAlignment="1">
      <alignment/>
    </xf>
    <xf numFmtId="3" fontId="0" fillId="33" borderId="10" xfId="0" applyNumberFormat="1" applyFill="1" applyBorder="1" applyAlignment="1">
      <alignment/>
    </xf>
    <xf numFmtId="0" fontId="3" fillId="0" borderId="0" xfId="0" applyFont="1" applyFill="1" applyAlignment="1">
      <alignment horizontal="right" vertical="center"/>
    </xf>
    <xf numFmtId="0" fontId="3" fillId="0" borderId="10" xfId="0" applyFont="1" applyFill="1" applyBorder="1" applyAlignment="1">
      <alignment horizontal="right" wrapText="1"/>
    </xf>
    <xf numFmtId="3" fontId="8" fillId="0" borderId="10" xfId="0" applyNumberFormat="1" applyFont="1" applyFill="1" applyBorder="1" applyAlignment="1">
      <alignment horizontal="right" vertical="center" wrapText="1"/>
    </xf>
    <xf numFmtId="3" fontId="8" fillId="33" borderId="10" xfId="0" applyNumberFormat="1" applyFont="1" applyFill="1" applyBorder="1" applyAlignment="1">
      <alignment horizontal="right" vertical="center" wrapText="1"/>
    </xf>
    <xf numFmtId="0" fontId="2" fillId="0" borderId="10" xfId="0" applyFont="1" applyFill="1" applyBorder="1" applyAlignment="1">
      <alignment vertical="center" wrapText="1"/>
    </xf>
    <xf numFmtId="0" fontId="2" fillId="0" borderId="10" xfId="0" applyFont="1" applyFill="1" applyBorder="1" applyAlignment="1">
      <alignment/>
    </xf>
    <xf numFmtId="49" fontId="15" fillId="0" borderId="10" xfId="0" applyNumberFormat="1" applyFont="1" applyFill="1" applyBorder="1" applyAlignment="1">
      <alignment horizontal="right" vertical="center" wrapText="1"/>
    </xf>
    <xf numFmtId="3" fontId="16" fillId="0" borderId="10" xfId="0" applyNumberFormat="1" applyFont="1" applyFill="1" applyBorder="1" applyAlignment="1">
      <alignment vertical="center"/>
    </xf>
    <xf numFmtId="3" fontId="16" fillId="33" borderId="10" xfId="0" applyNumberFormat="1" applyFont="1" applyFill="1" applyBorder="1" applyAlignment="1">
      <alignment vertical="center"/>
    </xf>
    <xf numFmtId="49" fontId="16" fillId="0" borderId="10" xfId="0" applyNumberFormat="1" applyFont="1" applyFill="1" applyBorder="1" applyAlignment="1">
      <alignment horizontal="right" vertical="center" wrapText="1"/>
    </xf>
    <xf numFmtId="3" fontId="17" fillId="0" borderId="10" xfId="0" applyNumberFormat="1" applyFont="1" applyFill="1" applyBorder="1" applyAlignment="1">
      <alignment vertical="center"/>
    </xf>
    <xf numFmtId="3" fontId="17" fillId="33" borderId="10" xfId="0" applyNumberFormat="1" applyFont="1" applyFill="1" applyBorder="1" applyAlignment="1">
      <alignment vertical="center"/>
    </xf>
    <xf numFmtId="49" fontId="15" fillId="0" borderId="10" xfId="0" applyNumberFormat="1" applyFont="1" applyFill="1" applyBorder="1" applyAlignment="1">
      <alignment horizontal="right" vertical="center"/>
    </xf>
    <xf numFmtId="0" fontId="2" fillId="0" borderId="10" xfId="0" applyFont="1" applyFill="1" applyBorder="1" applyAlignment="1">
      <alignment/>
    </xf>
    <xf numFmtId="0" fontId="4" fillId="0" borderId="10" xfId="0" applyFont="1" applyFill="1" applyBorder="1" applyAlignment="1">
      <alignment horizontal="center"/>
    </xf>
    <xf numFmtId="3" fontId="16" fillId="0" borderId="10" xfId="0" applyNumberFormat="1" applyFont="1" applyFill="1" applyBorder="1" applyAlignment="1">
      <alignment horizontal="right"/>
    </xf>
    <xf numFmtId="3" fontId="16" fillId="33" borderId="10" xfId="0" applyNumberFormat="1" applyFont="1" applyFill="1" applyBorder="1" applyAlignment="1">
      <alignment horizontal="right"/>
    </xf>
    <xf numFmtId="0" fontId="10" fillId="0" borderId="0" xfId="0" applyFont="1" applyFill="1" applyAlignment="1">
      <alignment/>
    </xf>
    <xf numFmtId="3" fontId="2" fillId="0" borderId="0" xfId="0" applyNumberFormat="1" applyFont="1" applyFill="1" applyAlignment="1">
      <alignment/>
    </xf>
    <xf numFmtId="0" fontId="2" fillId="0" borderId="0" xfId="0" applyFont="1" applyFill="1" applyBorder="1" applyAlignment="1">
      <alignment/>
    </xf>
    <xf numFmtId="0" fontId="4" fillId="0" borderId="0" xfId="0" applyFont="1" applyFill="1" applyBorder="1" applyAlignment="1">
      <alignment horizontal="center"/>
    </xf>
    <xf numFmtId="3" fontId="16" fillId="0" borderId="0" xfId="0" applyNumberFormat="1" applyFont="1" applyFill="1" applyBorder="1" applyAlignment="1">
      <alignment horizontal="right"/>
    </xf>
    <xf numFmtId="3" fontId="16" fillId="33" borderId="0" xfId="0" applyNumberFormat="1" applyFont="1" applyFill="1" applyBorder="1" applyAlignment="1">
      <alignment horizontal="right"/>
    </xf>
    <xf numFmtId="0" fontId="6" fillId="0" borderId="0" xfId="0" applyFont="1" applyFill="1" applyBorder="1" applyAlignment="1">
      <alignment horizontal="center"/>
    </xf>
    <xf numFmtId="0" fontId="6" fillId="33" borderId="0" xfId="0" applyFont="1" applyFill="1" applyBorder="1" applyAlignment="1">
      <alignment horizontal="center"/>
    </xf>
    <xf numFmtId="3" fontId="3" fillId="0" borderId="0" xfId="0" applyNumberFormat="1" applyFont="1" applyFill="1" applyAlignment="1">
      <alignment/>
    </xf>
    <xf numFmtId="0" fontId="2" fillId="0" borderId="0" xfId="0" applyFont="1" applyFill="1" applyBorder="1" applyAlignment="1">
      <alignment horizontal="center" vertical="center"/>
    </xf>
    <xf numFmtId="3" fontId="2" fillId="0" borderId="0" xfId="0" applyNumberFormat="1" applyFont="1" applyFill="1" applyAlignment="1">
      <alignment horizontal="center"/>
    </xf>
    <xf numFmtId="0" fontId="2" fillId="33" borderId="0" xfId="0" applyFont="1" applyFill="1" applyAlignment="1">
      <alignment horizontal="center"/>
    </xf>
    <xf numFmtId="0" fontId="4" fillId="0" borderId="0" xfId="0" applyFont="1" applyFill="1" applyAlignment="1">
      <alignment horizontal="right"/>
    </xf>
    <xf numFmtId="3" fontId="4" fillId="0" borderId="0" xfId="0" applyNumberFormat="1" applyFont="1" applyFill="1" applyAlignment="1">
      <alignment/>
    </xf>
    <xf numFmtId="0" fontId="4" fillId="0" borderId="0" xfId="0" applyFont="1" applyFill="1" applyBorder="1" applyAlignment="1">
      <alignment wrapText="1"/>
    </xf>
    <xf numFmtId="0" fontId="4" fillId="0" borderId="0" xfId="0" applyFont="1" applyFill="1" applyBorder="1" applyAlignment="1">
      <alignment horizontal="left" wrapText="1"/>
    </xf>
    <xf numFmtId="0" fontId="5" fillId="0" borderId="0" xfId="0" applyFont="1" applyFill="1" applyBorder="1" applyAlignment="1">
      <alignment horizontal="center" vertical="center" wrapText="1"/>
    </xf>
    <xf numFmtId="0" fontId="4" fillId="0" borderId="10" xfId="0" applyFont="1" applyFill="1" applyBorder="1" applyAlignment="1">
      <alignment vertical="center" wrapText="1"/>
    </xf>
    <xf numFmtId="0" fontId="2" fillId="0" borderId="0" xfId="0" applyFont="1" applyFill="1" applyBorder="1" applyAlignment="1">
      <alignment vertical="center"/>
    </xf>
    <xf numFmtId="0" fontId="2" fillId="0" borderId="0" xfId="0" applyFont="1" applyFill="1" applyBorder="1" applyAlignment="1">
      <alignment vertical="center"/>
    </xf>
    <xf numFmtId="3" fontId="2" fillId="0" borderId="0" xfId="0" applyNumberFormat="1" applyFont="1" applyFill="1" applyBorder="1" applyAlignment="1">
      <alignment vertical="center"/>
    </xf>
    <xf numFmtId="3" fontId="2" fillId="0" borderId="0" xfId="0" applyNumberFormat="1" applyFont="1" applyFill="1" applyBorder="1" applyAlignment="1">
      <alignment vertical="center"/>
    </xf>
    <xf numFmtId="0" fontId="4" fillId="0" borderId="10" xfId="0" applyFont="1" applyFill="1" applyBorder="1" applyAlignment="1">
      <alignment horizontal="right" vertical="center" wrapText="1"/>
    </xf>
    <xf numFmtId="0" fontId="4" fillId="0" borderId="10" xfId="0" applyFont="1" applyFill="1" applyBorder="1" applyAlignment="1">
      <alignment vertical="center" wrapText="1"/>
    </xf>
    <xf numFmtId="49" fontId="4" fillId="0" borderId="10" xfId="0" applyNumberFormat="1" applyFont="1" applyFill="1" applyBorder="1" applyAlignment="1">
      <alignment vertical="center" wrapText="1"/>
    </xf>
    <xf numFmtId="0" fontId="4" fillId="0" borderId="10" xfId="0" applyFont="1" applyFill="1" applyBorder="1" applyAlignment="1">
      <alignment horizontal="left" vertical="center" wrapText="1"/>
    </xf>
    <xf numFmtId="49" fontId="4" fillId="0" borderId="10" xfId="0" applyNumberFormat="1" applyFont="1" applyFill="1" applyBorder="1" applyAlignment="1">
      <alignment horizontal="right" vertical="center" wrapText="1"/>
    </xf>
    <xf numFmtId="49" fontId="4" fillId="0" borderId="10" xfId="0" applyNumberFormat="1" applyFont="1" applyFill="1" applyBorder="1" applyAlignment="1">
      <alignment horizontal="left" vertical="center" wrapText="1"/>
    </xf>
    <xf numFmtId="0" fontId="2" fillId="0" borderId="0" xfId="0" applyFont="1" applyFill="1" applyBorder="1" applyAlignment="1">
      <alignment horizontal="center"/>
    </xf>
    <xf numFmtId="0" fontId="4" fillId="0" borderId="10" xfId="0" applyFont="1" applyFill="1" applyBorder="1" applyAlignment="1">
      <alignment horizontal="right" vertical="center" wrapText="1"/>
    </xf>
    <xf numFmtId="0" fontId="6" fillId="0" borderId="0" xfId="0" applyFont="1"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tă" xfId="48"/>
    <cellStyle name="Percent" xfId="49"/>
    <cellStyle name="Text avertisment" xfId="50"/>
    <cellStyle name="Text explicativ" xfId="51"/>
    <cellStyle name="Titlu" xfId="52"/>
    <cellStyle name="Titlu 1" xfId="53"/>
    <cellStyle name="Titlu 2" xfId="54"/>
    <cellStyle name="Titlu 3" xfId="55"/>
    <cellStyle name="Titlu 4" xfId="56"/>
    <cellStyle name="Total" xfId="57"/>
    <cellStyle name="Verificare celulă" xfId="58"/>
    <cellStyle name="Comma" xfId="59"/>
    <cellStyle name="Comma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V626"/>
  <sheetViews>
    <sheetView tabSelected="1" zoomScaleSheetLayoutView="55" zoomScalePageLayoutView="0" workbookViewId="0" topLeftCell="D1">
      <pane ySplit="7" topLeftCell="A8" activePane="bottomLeft" state="frozen"/>
      <selection pane="topLeft" activeCell="A1" sqref="A1"/>
      <selection pane="bottomLeft" activeCell="R4" sqref="R4"/>
    </sheetView>
  </sheetViews>
  <sheetFormatPr defaultColWidth="9.140625" defaultRowHeight="15"/>
  <cols>
    <col min="1" max="1" width="13.140625" style="1" customWidth="1"/>
    <col min="2" max="2" width="75.00390625" style="1" customWidth="1"/>
    <col min="3" max="3" width="15.8515625" style="1" customWidth="1"/>
    <col min="4" max="4" width="9.140625" style="1" customWidth="1"/>
    <col min="5" max="5" width="9.140625" style="2" customWidth="1"/>
    <col min="6" max="7" width="9.140625" style="1" customWidth="1"/>
    <col min="8" max="8" width="9.421875" style="2" customWidth="1"/>
    <col min="9" max="9" width="9.140625" style="1" customWidth="1"/>
    <col min="10" max="10" width="9.421875" style="1" customWidth="1"/>
    <col min="11" max="11" width="8.57421875" style="2" customWidth="1"/>
    <col min="12" max="12" width="9.140625" style="1" customWidth="1"/>
    <col min="13" max="13" width="8.421875" style="1" customWidth="1"/>
    <col min="14" max="14" width="8.28125" style="2" customWidth="1"/>
    <col min="15" max="15" width="9.140625" style="1" customWidth="1"/>
    <col min="16" max="16" width="11.28125" style="3" customWidth="1"/>
    <col min="17" max="18" width="9.00390625" style="1" customWidth="1"/>
    <col min="19" max="19" width="13.7109375" style="1" customWidth="1"/>
    <col min="20" max="20" width="10.28125" style="1" customWidth="1"/>
    <col min="21" max="21" width="12.8515625" style="1" customWidth="1"/>
    <col min="22" max="249" width="9.00390625" style="1" customWidth="1"/>
    <col min="250" max="16384" width="9.140625" style="4" customWidth="1"/>
  </cols>
  <sheetData>
    <row r="1" spans="1:256" ht="19.5" customHeight="1">
      <c r="A1" s="5"/>
      <c r="B1" s="6"/>
      <c r="C1" s="7"/>
      <c r="N1" s="2" t="s">
        <v>154</v>
      </c>
      <c r="P1" s="1"/>
      <c r="IL1" s="4"/>
      <c r="IM1" s="4"/>
      <c r="IN1" s="4"/>
      <c r="IO1" s="4"/>
      <c r="IP1"/>
      <c r="IQ1"/>
      <c r="IR1"/>
      <c r="IS1"/>
      <c r="IT1"/>
      <c r="IU1"/>
      <c r="IV1"/>
    </row>
    <row r="2" spans="1:256" ht="18" customHeight="1">
      <c r="A2" s="169"/>
      <c r="B2" s="169"/>
      <c r="C2" s="7"/>
      <c r="N2" s="2" t="s">
        <v>155</v>
      </c>
      <c r="P2" s="1"/>
      <c r="IL2" s="4"/>
      <c r="IM2" s="4"/>
      <c r="IN2" s="4"/>
      <c r="IO2" s="4"/>
      <c r="IP2"/>
      <c r="IQ2"/>
      <c r="IR2"/>
      <c r="IS2"/>
      <c r="IT2"/>
      <c r="IU2"/>
      <c r="IV2"/>
    </row>
    <row r="3" spans="1:256" ht="17.25" customHeight="1">
      <c r="A3" s="169"/>
      <c r="B3" s="169"/>
      <c r="C3" s="169"/>
      <c r="P3" s="1"/>
      <c r="IL3" s="4"/>
      <c r="IM3" s="4"/>
      <c r="IN3" s="4"/>
      <c r="IO3" s="4"/>
      <c r="IP3"/>
      <c r="IQ3"/>
      <c r="IR3"/>
      <c r="IS3"/>
      <c r="IT3"/>
      <c r="IU3"/>
      <c r="IV3"/>
    </row>
    <row r="4" spans="1:256" ht="15.75" customHeight="1">
      <c r="A4" s="170"/>
      <c r="B4" s="170"/>
      <c r="C4" s="7"/>
      <c r="P4" s="1"/>
      <c r="IL4" s="4"/>
      <c r="IM4" s="4"/>
      <c r="IN4" s="4"/>
      <c r="IO4" s="4"/>
      <c r="IP4"/>
      <c r="IQ4"/>
      <c r="IR4"/>
      <c r="IS4"/>
      <c r="IT4"/>
      <c r="IU4"/>
      <c r="IV4"/>
    </row>
    <row r="5" spans="1:15" ht="21.75" customHeight="1">
      <c r="A5" s="171" t="s">
        <v>0</v>
      </c>
      <c r="B5" s="171"/>
      <c r="C5" s="171"/>
      <c r="D5" s="171"/>
      <c r="E5" s="171"/>
      <c r="F5" s="171"/>
      <c r="G5" s="171"/>
      <c r="H5" s="171"/>
      <c r="I5" s="171"/>
      <c r="J5" s="171"/>
      <c r="K5" s="171"/>
      <c r="L5" s="171"/>
      <c r="M5" s="171"/>
      <c r="N5" s="9"/>
      <c r="O5" s="8"/>
    </row>
    <row r="6" spans="1:16" ht="15.75" customHeight="1">
      <c r="A6" s="10"/>
      <c r="B6" s="11"/>
      <c r="C6" s="12"/>
      <c r="D6" s="13"/>
      <c r="E6" s="14"/>
      <c r="F6" s="13"/>
      <c r="G6" s="13"/>
      <c r="H6" s="14"/>
      <c r="I6" s="13"/>
      <c r="J6" s="13"/>
      <c r="K6" s="14"/>
      <c r="L6" s="13"/>
      <c r="M6" s="12"/>
      <c r="N6" s="15"/>
      <c r="O6" s="13"/>
      <c r="P6" s="12" t="s">
        <v>1</v>
      </c>
    </row>
    <row r="7" spans="1:254" s="23" customFormat="1" ht="39.75" customHeight="1">
      <c r="A7" s="16" t="s">
        <v>2</v>
      </c>
      <c r="B7" s="17" t="s">
        <v>3</v>
      </c>
      <c r="C7" s="16" t="s">
        <v>4</v>
      </c>
      <c r="D7" s="18" t="s">
        <v>5</v>
      </c>
      <c r="E7" s="19" t="s">
        <v>6</v>
      </c>
      <c r="F7" s="18" t="s">
        <v>7</v>
      </c>
      <c r="G7" s="18" t="s">
        <v>8</v>
      </c>
      <c r="H7" s="19" t="s">
        <v>9</v>
      </c>
      <c r="I7" s="18" t="s">
        <v>10</v>
      </c>
      <c r="J7" s="18" t="s">
        <v>11</v>
      </c>
      <c r="K7" s="19" t="s">
        <v>12</v>
      </c>
      <c r="L7" s="18" t="s">
        <v>13</v>
      </c>
      <c r="M7" s="20" t="s">
        <v>14</v>
      </c>
      <c r="N7" s="21" t="s">
        <v>15</v>
      </c>
      <c r="O7" s="18" t="s">
        <v>16</v>
      </c>
      <c r="P7" s="22" t="s">
        <v>17</v>
      </c>
      <c r="IP7" s="24"/>
      <c r="IQ7" s="24"/>
      <c r="IR7" s="24"/>
      <c r="IS7" s="24"/>
      <c r="IT7" s="24"/>
    </row>
    <row r="8" spans="1:254" s="23" customFormat="1" ht="15.75" customHeight="1">
      <c r="A8" s="172" t="s">
        <v>18</v>
      </c>
      <c r="B8" s="172"/>
      <c r="C8" s="172"/>
      <c r="D8" s="16"/>
      <c r="E8" s="26"/>
      <c r="F8" s="16"/>
      <c r="G8" s="16"/>
      <c r="H8" s="26"/>
      <c r="I8" s="16"/>
      <c r="J8" s="16"/>
      <c r="K8" s="26"/>
      <c r="L8" s="16"/>
      <c r="M8" s="17"/>
      <c r="N8" s="27"/>
      <c r="O8" s="16"/>
      <c r="P8" s="28"/>
      <c r="Q8" s="29"/>
      <c r="R8" s="29"/>
      <c r="IP8" s="24"/>
      <c r="IQ8" s="24"/>
      <c r="IR8" s="24"/>
      <c r="IS8" s="24"/>
      <c r="IT8" s="24"/>
    </row>
    <row r="9" spans="1:254" s="23" customFormat="1" ht="15" customHeight="1">
      <c r="A9" s="30" t="s">
        <v>19</v>
      </c>
      <c r="B9" s="31" t="s">
        <v>20</v>
      </c>
      <c r="C9" s="32">
        <f>C10+C11+C12</f>
        <v>4</v>
      </c>
      <c r="D9" s="32">
        <f>D10+D11+D12</f>
        <v>4</v>
      </c>
      <c r="E9" s="33">
        <f>E10+E11+E12</f>
        <v>0</v>
      </c>
      <c r="F9" s="32">
        <f aca="true" t="shared" si="0" ref="F9:F51">D9+E9</f>
        <v>4</v>
      </c>
      <c r="G9" s="32">
        <f>G10+G11+G12</f>
        <v>0</v>
      </c>
      <c r="H9" s="33">
        <f>H10+H11+H12</f>
        <v>0</v>
      </c>
      <c r="I9" s="32">
        <f aca="true" t="shared" si="1" ref="I9:I51">G9+H9</f>
        <v>0</v>
      </c>
      <c r="J9" s="32">
        <f>J10+J11+J12</f>
        <v>0</v>
      </c>
      <c r="K9" s="33">
        <f>K10+K11+K12</f>
        <v>0</v>
      </c>
      <c r="L9" s="32">
        <f aca="true" t="shared" si="2" ref="L9:L51">J9+K9</f>
        <v>0</v>
      </c>
      <c r="M9" s="32">
        <f>M10+M11+M12</f>
        <v>0</v>
      </c>
      <c r="N9" s="33">
        <f>N10+N11+N12</f>
        <v>0</v>
      </c>
      <c r="O9" s="32">
        <f aca="true" t="shared" si="3" ref="O9:O51">M9+N9</f>
        <v>0</v>
      </c>
      <c r="P9" s="32">
        <f aca="true" t="shared" si="4" ref="P9:P51">F9+I9+L9+O9</f>
        <v>4</v>
      </c>
      <c r="Q9" s="29"/>
      <c r="R9" s="29"/>
      <c r="IP9" s="24"/>
      <c r="IQ9" s="24"/>
      <c r="IR9" s="24"/>
      <c r="IS9" s="24"/>
      <c r="IT9" s="24"/>
    </row>
    <row r="10" spans="1:254" s="23" customFormat="1" ht="15.75" customHeight="1">
      <c r="A10" s="34" t="s">
        <v>21</v>
      </c>
      <c r="B10" s="35" t="s">
        <v>22</v>
      </c>
      <c r="C10" s="36">
        <v>3</v>
      </c>
      <c r="D10" s="36">
        <v>3</v>
      </c>
      <c r="E10" s="37"/>
      <c r="F10" s="32">
        <f t="shared" si="0"/>
        <v>3</v>
      </c>
      <c r="G10" s="36">
        <v>0</v>
      </c>
      <c r="H10" s="37"/>
      <c r="I10" s="32">
        <f t="shared" si="1"/>
        <v>0</v>
      </c>
      <c r="J10" s="36">
        <v>0</v>
      </c>
      <c r="K10" s="37"/>
      <c r="L10" s="32">
        <f t="shared" si="2"/>
        <v>0</v>
      </c>
      <c r="M10" s="38">
        <v>0</v>
      </c>
      <c r="N10" s="39"/>
      <c r="O10" s="32">
        <f t="shared" si="3"/>
        <v>0</v>
      </c>
      <c r="P10" s="32">
        <f t="shared" si="4"/>
        <v>3</v>
      </c>
      <c r="Q10" s="29"/>
      <c r="R10" s="29"/>
      <c r="IP10" s="24"/>
      <c r="IQ10" s="24"/>
      <c r="IR10" s="24"/>
      <c r="IS10" s="24"/>
      <c r="IT10" s="24"/>
    </row>
    <row r="11" spans="1:254" s="23" customFormat="1" ht="15.75" customHeight="1">
      <c r="A11" s="34" t="s">
        <v>23</v>
      </c>
      <c r="B11" s="35" t="s">
        <v>24</v>
      </c>
      <c r="C11" s="36">
        <v>0</v>
      </c>
      <c r="D11" s="36">
        <v>0</v>
      </c>
      <c r="E11" s="37"/>
      <c r="F11" s="32">
        <f t="shared" si="0"/>
        <v>0</v>
      </c>
      <c r="G11" s="36">
        <v>0</v>
      </c>
      <c r="H11" s="37"/>
      <c r="I11" s="32">
        <f t="shared" si="1"/>
        <v>0</v>
      </c>
      <c r="J11" s="36">
        <v>0</v>
      </c>
      <c r="K11" s="37"/>
      <c r="L11" s="32">
        <f t="shared" si="2"/>
        <v>0</v>
      </c>
      <c r="M11" s="38">
        <v>0</v>
      </c>
      <c r="N11" s="39"/>
      <c r="O11" s="32">
        <f t="shared" si="3"/>
        <v>0</v>
      </c>
      <c r="P11" s="32">
        <f t="shared" si="4"/>
        <v>0</v>
      </c>
      <c r="Q11" s="29"/>
      <c r="R11" s="29"/>
      <c r="IP11" s="24"/>
      <c r="IQ11" s="24"/>
      <c r="IR11" s="24"/>
      <c r="IS11" s="24"/>
      <c r="IT11" s="24"/>
    </row>
    <row r="12" spans="1:254" s="23" customFormat="1" ht="16.5" customHeight="1">
      <c r="A12" s="40" t="s">
        <v>25</v>
      </c>
      <c r="B12" s="35" t="s">
        <v>26</v>
      </c>
      <c r="C12" s="36">
        <v>1</v>
      </c>
      <c r="D12" s="36">
        <v>1</v>
      </c>
      <c r="E12" s="37"/>
      <c r="F12" s="32">
        <f t="shared" si="0"/>
        <v>1</v>
      </c>
      <c r="G12" s="36">
        <v>0</v>
      </c>
      <c r="H12" s="37"/>
      <c r="I12" s="32">
        <f t="shared" si="1"/>
        <v>0</v>
      </c>
      <c r="J12" s="36">
        <v>0</v>
      </c>
      <c r="K12" s="37"/>
      <c r="L12" s="32">
        <f t="shared" si="2"/>
        <v>0</v>
      </c>
      <c r="M12" s="38">
        <v>0</v>
      </c>
      <c r="N12" s="39"/>
      <c r="O12" s="32">
        <f t="shared" si="3"/>
        <v>0</v>
      </c>
      <c r="P12" s="32">
        <f t="shared" si="4"/>
        <v>1</v>
      </c>
      <c r="Q12" s="29"/>
      <c r="R12" s="29"/>
      <c r="IP12" s="24"/>
      <c r="IQ12" s="24"/>
      <c r="IR12" s="24"/>
      <c r="IS12" s="24"/>
      <c r="IT12" s="24"/>
    </row>
    <row r="13" spans="1:254" s="23" customFormat="1" ht="18" customHeight="1" hidden="1">
      <c r="A13" s="41"/>
      <c r="B13" s="25"/>
      <c r="C13" s="36"/>
      <c r="D13" s="36"/>
      <c r="E13" s="37"/>
      <c r="F13" s="32">
        <f t="shared" si="0"/>
        <v>0</v>
      </c>
      <c r="G13" s="36"/>
      <c r="H13" s="37"/>
      <c r="I13" s="32">
        <f t="shared" si="1"/>
        <v>0</v>
      </c>
      <c r="J13" s="36"/>
      <c r="K13" s="37"/>
      <c r="L13" s="32">
        <f t="shared" si="2"/>
        <v>0</v>
      </c>
      <c r="M13" s="38"/>
      <c r="N13" s="39"/>
      <c r="O13" s="32">
        <f t="shared" si="3"/>
        <v>0</v>
      </c>
      <c r="P13" s="32">
        <f t="shared" si="4"/>
        <v>0</v>
      </c>
      <c r="Q13" s="29"/>
      <c r="R13" s="29"/>
      <c r="IP13" s="24"/>
      <c r="IQ13" s="24"/>
      <c r="IR13" s="24"/>
      <c r="IS13" s="24"/>
      <c r="IT13" s="24"/>
    </row>
    <row r="14" spans="1:254" s="23" customFormat="1" ht="18" customHeight="1" hidden="1">
      <c r="A14" s="42"/>
      <c r="B14" s="25"/>
      <c r="C14" s="32">
        <f>C15+C16+C17</f>
        <v>4</v>
      </c>
      <c r="D14" s="32">
        <f>D15+D16+D17</f>
        <v>4</v>
      </c>
      <c r="E14" s="33">
        <f>E15+E16+E17</f>
        <v>0</v>
      </c>
      <c r="F14" s="32">
        <f t="shared" si="0"/>
        <v>4</v>
      </c>
      <c r="G14" s="32">
        <f>G15+G16+G17</f>
        <v>0</v>
      </c>
      <c r="H14" s="33">
        <f>H15+H16+H17</f>
        <v>0</v>
      </c>
      <c r="I14" s="32">
        <f t="shared" si="1"/>
        <v>0</v>
      </c>
      <c r="J14" s="32">
        <f>J15+J16+J17</f>
        <v>0</v>
      </c>
      <c r="K14" s="33">
        <f>K15+K16+K17</f>
        <v>0</v>
      </c>
      <c r="L14" s="32">
        <f t="shared" si="2"/>
        <v>0</v>
      </c>
      <c r="M14" s="32">
        <f>M15+M16+M17</f>
        <v>0</v>
      </c>
      <c r="N14" s="33">
        <f>N15+N16+N17</f>
        <v>0</v>
      </c>
      <c r="O14" s="32">
        <f t="shared" si="3"/>
        <v>0</v>
      </c>
      <c r="P14" s="32">
        <f t="shared" si="4"/>
        <v>4</v>
      </c>
      <c r="Q14" s="29"/>
      <c r="R14" s="29"/>
      <c r="IP14" s="24"/>
      <c r="IQ14" s="24"/>
      <c r="IR14" s="24"/>
      <c r="IS14" s="24"/>
      <c r="IT14" s="24"/>
    </row>
    <row r="15" spans="1:254" s="23" customFormat="1" ht="18" customHeight="1" hidden="1">
      <c r="A15" s="40" t="s">
        <v>27</v>
      </c>
      <c r="B15" s="43" t="s">
        <v>22</v>
      </c>
      <c r="C15" s="36">
        <v>3</v>
      </c>
      <c r="D15" s="36">
        <v>3</v>
      </c>
      <c r="E15" s="37"/>
      <c r="F15" s="32">
        <f t="shared" si="0"/>
        <v>3</v>
      </c>
      <c r="G15" s="36">
        <v>0</v>
      </c>
      <c r="H15" s="37"/>
      <c r="I15" s="32">
        <f t="shared" si="1"/>
        <v>0</v>
      </c>
      <c r="J15" s="36">
        <v>0</v>
      </c>
      <c r="K15" s="37"/>
      <c r="L15" s="32">
        <f t="shared" si="2"/>
        <v>0</v>
      </c>
      <c r="M15" s="38">
        <v>0</v>
      </c>
      <c r="N15" s="39"/>
      <c r="O15" s="32">
        <f t="shared" si="3"/>
        <v>0</v>
      </c>
      <c r="P15" s="32">
        <f t="shared" si="4"/>
        <v>3</v>
      </c>
      <c r="Q15" s="29"/>
      <c r="R15" s="29"/>
      <c r="IP15" s="24"/>
      <c r="IQ15" s="24"/>
      <c r="IR15" s="24"/>
      <c r="IS15" s="24"/>
      <c r="IT15" s="24"/>
    </row>
    <row r="16" spans="1:254" s="23" customFormat="1" ht="18" customHeight="1" hidden="1">
      <c r="A16" s="40" t="s">
        <v>28</v>
      </c>
      <c r="B16" s="43" t="s">
        <v>29</v>
      </c>
      <c r="C16" s="36">
        <f>D16+G16+J16+M16</f>
        <v>0</v>
      </c>
      <c r="D16" s="36">
        <v>0</v>
      </c>
      <c r="E16" s="37"/>
      <c r="F16" s="32">
        <f t="shared" si="0"/>
        <v>0</v>
      </c>
      <c r="G16" s="36">
        <v>0</v>
      </c>
      <c r="H16" s="37"/>
      <c r="I16" s="32">
        <f t="shared" si="1"/>
        <v>0</v>
      </c>
      <c r="J16" s="36">
        <v>0</v>
      </c>
      <c r="K16" s="37"/>
      <c r="L16" s="32">
        <f t="shared" si="2"/>
        <v>0</v>
      </c>
      <c r="M16" s="38">
        <v>0</v>
      </c>
      <c r="N16" s="39"/>
      <c r="O16" s="32">
        <f t="shared" si="3"/>
        <v>0</v>
      </c>
      <c r="P16" s="32">
        <f t="shared" si="4"/>
        <v>0</v>
      </c>
      <c r="Q16" s="29"/>
      <c r="R16" s="29"/>
      <c r="IP16" s="24"/>
      <c r="IQ16" s="24"/>
      <c r="IR16" s="24"/>
      <c r="IS16" s="24"/>
      <c r="IT16" s="24"/>
    </row>
    <row r="17" spans="1:254" s="23" customFormat="1" ht="18" customHeight="1" hidden="1">
      <c r="A17" s="40" t="s">
        <v>30</v>
      </c>
      <c r="B17" s="43" t="s">
        <v>26</v>
      </c>
      <c r="C17" s="36">
        <v>1</v>
      </c>
      <c r="D17" s="36">
        <v>1</v>
      </c>
      <c r="E17" s="37"/>
      <c r="F17" s="32">
        <f t="shared" si="0"/>
        <v>1</v>
      </c>
      <c r="G17" s="36">
        <v>0</v>
      </c>
      <c r="H17" s="37"/>
      <c r="I17" s="32">
        <f t="shared" si="1"/>
        <v>0</v>
      </c>
      <c r="J17" s="36">
        <v>0</v>
      </c>
      <c r="K17" s="37"/>
      <c r="L17" s="32">
        <f t="shared" si="2"/>
        <v>0</v>
      </c>
      <c r="M17" s="38">
        <v>0</v>
      </c>
      <c r="N17" s="39"/>
      <c r="O17" s="32">
        <f t="shared" si="3"/>
        <v>0</v>
      </c>
      <c r="P17" s="32">
        <f t="shared" si="4"/>
        <v>1</v>
      </c>
      <c r="Q17" s="29"/>
      <c r="R17" s="29"/>
      <c r="IP17" s="24"/>
      <c r="IQ17" s="24"/>
      <c r="IR17" s="24"/>
      <c r="IS17" s="24"/>
      <c r="IT17" s="24"/>
    </row>
    <row r="18" spans="1:254" s="23" customFormat="1" ht="31.5" customHeight="1">
      <c r="A18" s="30" t="s">
        <v>19</v>
      </c>
      <c r="B18" s="31" t="s">
        <v>31</v>
      </c>
      <c r="C18" s="32">
        <f>C19+C20+C21</f>
        <v>4</v>
      </c>
      <c r="D18" s="32">
        <f>D19+D20+D21</f>
        <v>4</v>
      </c>
      <c r="E18" s="33">
        <f>E19+E20+E21</f>
        <v>0</v>
      </c>
      <c r="F18" s="32">
        <f t="shared" si="0"/>
        <v>4</v>
      </c>
      <c r="G18" s="32">
        <f>G19+G20+G21</f>
        <v>0</v>
      </c>
      <c r="H18" s="33">
        <f>H19+H20+H21</f>
        <v>0</v>
      </c>
      <c r="I18" s="32">
        <f t="shared" si="1"/>
        <v>0</v>
      </c>
      <c r="J18" s="32">
        <f>J19+J20+J21</f>
        <v>0</v>
      </c>
      <c r="K18" s="33">
        <f>K19+K20+K21</f>
        <v>0</v>
      </c>
      <c r="L18" s="32">
        <f t="shared" si="2"/>
        <v>0</v>
      </c>
      <c r="M18" s="32">
        <f>M19+M20+M21</f>
        <v>0</v>
      </c>
      <c r="N18" s="33">
        <f>N19+N20+N21</f>
        <v>0</v>
      </c>
      <c r="O18" s="32">
        <f t="shared" si="3"/>
        <v>0</v>
      </c>
      <c r="P18" s="32">
        <f t="shared" si="4"/>
        <v>4</v>
      </c>
      <c r="Q18" s="29"/>
      <c r="R18" s="29"/>
      <c r="IP18" s="24"/>
      <c r="IQ18" s="24"/>
      <c r="IR18" s="24"/>
      <c r="IS18" s="24"/>
      <c r="IT18" s="24"/>
    </row>
    <row r="19" spans="1:254" s="23" customFormat="1" ht="16.5" customHeight="1">
      <c r="A19" s="34" t="s">
        <v>21</v>
      </c>
      <c r="B19" s="35" t="s">
        <v>22</v>
      </c>
      <c r="C19" s="36">
        <v>3</v>
      </c>
      <c r="D19" s="36">
        <v>3</v>
      </c>
      <c r="E19" s="37"/>
      <c r="F19" s="32">
        <f t="shared" si="0"/>
        <v>3</v>
      </c>
      <c r="G19" s="36">
        <v>0</v>
      </c>
      <c r="H19" s="37"/>
      <c r="I19" s="32">
        <f t="shared" si="1"/>
        <v>0</v>
      </c>
      <c r="J19" s="36">
        <v>0</v>
      </c>
      <c r="K19" s="37"/>
      <c r="L19" s="32">
        <f t="shared" si="2"/>
        <v>0</v>
      </c>
      <c r="M19" s="38">
        <v>0</v>
      </c>
      <c r="N19" s="39"/>
      <c r="O19" s="32">
        <f t="shared" si="3"/>
        <v>0</v>
      </c>
      <c r="P19" s="32">
        <f t="shared" si="4"/>
        <v>3</v>
      </c>
      <c r="Q19" s="29"/>
      <c r="R19" s="29"/>
      <c r="IP19" s="24"/>
      <c r="IQ19" s="24"/>
      <c r="IR19" s="24"/>
      <c r="IS19" s="24"/>
      <c r="IT19" s="24"/>
    </row>
    <row r="20" spans="1:254" s="23" customFormat="1" ht="15.75" customHeight="1">
      <c r="A20" s="34" t="s">
        <v>23</v>
      </c>
      <c r="B20" s="35" t="s">
        <v>24</v>
      </c>
      <c r="C20" s="36">
        <v>0</v>
      </c>
      <c r="D20" s="36">
        <v>0</v>
      </c>
      <c r="E20" s="37"/>
      <c r="F20" s="32">
        <f t="shared" si="0"/>
        <v>0</v>
      </c>
      <c r="G20" s="36">
        <v>0</v>
      </c>
      <c r="H20" s="37"/>
      <c r="I20" s="32">
        <f t="shared" si="1"/>
        <v>0</v>
      </c>
      <c r="J20" s="36">
        <v>0</v>
      </c>
      <c r="K20" s="37"/>
      <c r="L20" s="32">
        <f t="shared" si="2"/>
        <v>0</v>
      </c>
      <c r="M20" s="38">
        <v>0</v>
      </c>
      <c r="N20" s="39"/>
      <c r="O20" s="32">
        <f t="shared" si="3"/>
        <v>0</v>
      </c>
      <c r="P20" s="32">
        <f t="shared" si="4"/>
        <v>0</v>
      </c>
      <c r="Q20" s="29"/>
      <c r="R20" s="29"/>
      <c r="IP20" s="24"/>
      <c r="IQ20" s="24"/>
      <c r="IR20" s="24"/>
      <c r="IS20" s="24"/>
      <c r="IT20" s="24"/>
    </row>
    <row r="21" spans="1:254" s="23" customFormat="1" ht="16.5" customHeight="1">
      <c r="A21" s="40" t="s">
        <v>25</v>
      </c>
      <c r="B21" s="35" t="s">
        <v>26</v>
      </c>
      <c r="C21" s="36">
        <v>1</v>
      </c>
      <c r="D21" s="36">
        <v>1</v>
      </c>
      <c r="E21" s="37"/>
      <c r="F21" s="32">
        <f t="shared" si="0"/>
        <v>1</v>
      </c>
      <c r="G21" s="36">
        <v>0</v>
      </c>
      <c r="H21" s="37"/>
      <c r="I21" s="32">
        <f t="shared" si="1"/>
        <v>0</v>
      </c>
      <c r="J21" s="36">
        <v>0</v>
      </c>
      <c r="K21" s="37"/>
      <c r="L21" s="32">
        <f t="shared" si="2"/>
        <v>0</v>
      </c>
      <c r="M21" s="38">
        <v>0</v>
      </c>
      <c r="N21" s="39"/>
      <c r="O21" s="32">
        <f t="shared" si="3"/>
        <v>0</v>
      </c>
      <c r="P21" s="32">
        <f t="shared" si="4"/>
        <v>1</v>
      </c>
      <c r="Q21" s="29"/>
      <c r="R21" s="29"/>
      <c r="IP21" s="24"/>
      <c r="IQ21" s="24"/>
      <c r="IR21" s="24"/>
      <c r="IS21" s="24"/>
      <c r="IT21" s="24"/>
    </row>
    <row r="22" spans="1:254" s="23" customFormat="1" ht="18" customHeight="1" hidden="1">
      <c r="A22" s="41"/>
      <c r="B22" s="25"/>
      <c r="C22" s="36"/>
      <c r="D22" s="36"/>
      <c r="E22" s="37"/>
      <c r="F22" s="32">
        <f t="shared" si="0"/>
        <v>0</v>
      </c>
      <c r="G22" s="36"/>
      <c r="H22" s="37"/>
      <c r="I22" s="32">
        <f t="shared" si="1"/>
        <v>0</v>
      </c>
      <c r="J22" s="36"/>
      <c r="K22" s="37"/>
      <c r="L22" s="32">
        <f t="shared" si="2"/>
        <v>0</v>
      </c>
      <c r="M22" s="38"/>
      <c r="N22" s="39"/>
      <c r="O22" s="32">
        <f t="shared" si="3"/>
        <v>0</v>
      </c>
      <c r="P22" s="32">
        <f t="shared" si="4"/>
        <v>0</v>
      </c>
      <c r="Q22" s="29"/>
      <c r="R22" s="29"/>
      <c r="IP22" s="24"/>
      <c r="IQ22" s="24"/>
      <c r="IR22" s="24"/>
      <c r="IS22" s="24"/>
      <c r="IT22" s="24"/>
    </row>
    <row r="23" spans="1:254" s="23" customFormat="1" ht="18" customHeight="1" hidden="1">
      <c r="A23" s="42"/>
      <c r="B23" s="25"/>
      <c r="C23" s="32">
        <f>C24+C25+C26</f>
        <v>4</v>
      </c>
      <c r="D23" s="32">
        <f>D24+D25+D26</f>
        <v>4</v>
      </c>
      <c r="E23" s="33">
        <f>E24+E25+E26</f>
        <v>0</v>
      </c>
      <c r="F23" s="32">
        <f t="shared" si="0"/>
        <v>4</v>
      </c>
      <c r="G23" s="32">
        <f>G24+G25+G26</f>
        <v>0</v>
      </c>
      <c r="H23" s="33">
        <f>H24+H25+H26</f>
        <v>0</v>
      </c>
      <c r="I23" s="32">
        <f t="shared" si="1"/>
        <v>0</v>
      </c>
      <c r="J23" s="32">
        <f>J24+J25+J26</f>
        <v>0</v>
      </c>
      <c r="K23" s="33">
        <f>K24+K25+K26</f>
        <v>0</v>
      </c>
      <c r="L23" s="32">
        <f t="shared" si="2"/>
        <v>0</v>
      </c>
      <c r="M23" s="32">
        <f>M24+M25+M26</f>
        <v>0</v>
      </c>
      <c r="N23" s="33">
        <f>N24+N25+N26</f>
        <v>0</v>
      </c>
      <c r="O23" s="32">
        <f t="shared" si="3"/>
        <v>0</v>
      </c>
      <c r="P23" s="32">
        <f t="shared" si="4"/>
        <v>4</v>
      </c>
      <c r="Q23" s="29"/>
      <c r="R23" s="29"/>
      <c r="IP23" s="24"/>
      <c r="IQ23" s="24"/>
      <c r="IR23" s="24"/>
      <c r="IS23" s="24"/>
      <c r="IT23" s="24"/>
    </row>
    <row r="24" spans="1:254" s="23" customFormat="1" ht="18" customHeight="1" hidden="1">
      <c r="A24" s="40" t="s">
        <v>27</v>
      </c>
      <c r="B24" s="43" t="s">
        <v>22</v>
      </c>
      <c r="C24" s="36">
        <v>3</v>
      </c>
      <c r="D24" s="36">
        <v>3</v>
      </c>
      <c r="E24" s="37"/>
      <c r="F24" s="32">
        <f t="shared" si="0"/>
        <v>3</v>
      </c>
      <c r="G24" s="36">
        <v>0</v>
      </c>
      <c r="H24" s="37"/>
      <c r="I24" s="32">
        <f t="shared" si="1"/>
        <v>0</v>
      </c>
      <c r="J24" s="36">
        <v>0</v>
      </c>
      <c r="K24" s="37"/>
      <c r="L24" s="32">
        <f t="shared" si="2"/>
        <v>0</v>
      </c>
      <c r="M24" s="38">
        <v>0</v>
      </c>
      <c r="N24" s="39"/>
      <c r="O24" s="32">
        <f t="shared" si="3"/>
        <v>0</v>
      </c>
      <c r="P24" s="32">
        <f t="shared" si="4"/>
        <v>3</v>
      </c>
      <c r="Q24" s="29"/>
      <c r="R24" s="29"/>
      <c r="IP24" s="24"/>
      <c r="IQ24" s="24"/>
      <c r="IR24" s="24"/>
      <c r="IS24" s="24"/>
      <c r="IT24" s="24"/>
    </row>
    <row r="25" spans="1:254" s="23" customFormat="1" ht="18" customHeight="1" hidden="1">
      <c r="A25" s="40" t="s">
        <v>28</v>
      </c>
      <c r="B25" s="43" t="s">
        <v>29</v>
      </c>
      <c r="C25" s="36">
        <f>D25+G25+J25+M25</f>
        <v>0</v>
      </c>
      <c r="D25" s="36">
        <v>0</v>
      </c>
      <c r="E25" s="37"/>
      <c r="F25" s="32">
        <f t="shared" si="0"/>
        <v>0</v>
      </c>
      <c r="G25" s="36">
        <v>0</v>
      </c>
      <c r="H25" s="37"/>
      <c r="I25" s="32">
        <f t="shared" si="1"/>
        <v>0</v>
      </c>
      <c r="J25" s="36">
        <v>0</v>
      </c>
      <c r="K25" s="37"/>
      <c r="L25" s="32">
        <f t="shared" si="2"/>
        <v>0</v>
      </c>
      <c r="M25" s="38">
        <v>0</v>
      </c>
      <c r="N25" s="39"/>
      <c r="O25" s="32">
        <f t="shared" si="3"/>
        <v>0</v>
      </c>
      <c r="P25" s="32">
        <f t="shared" si="4"/>
        <v>0</v>
      </c>
      <c r="Q25" s="29"/>
      <c r="R25" s="29"/>
      <c r="IP25" s="24"/>
      <c r="IQ25" s="24"/>
      <c r="IR25" s="24"/>
      <c r="IS25" s="24"/>
      <c r="IT25" s="24"/>
    </row>
    <row r="26" spans="1:254" s="23" customFormat="1" ht="18" customHeight="1" hidden="1">
      <c r="A26" s="40" t="s">
        <v>30</v>
      </c>
      <c r="B26" s="43" t="s">
        <v>26</v>
      </c>
      <c r="C26" s="36">
        <v>1</v>
      </c>
      <c r="D26" s="36">
        <v>1</v>
      </c>
      <c r="E26" s="37"/>
      <c r="F26" s="32">
        <f t="shared" si="0"/>
        <v>1</v>
      </c>
      <c r="G26" s="36">
        <v>0</v>
      </c>
      <c r="H26" s="37"/>
      <c r="I26" s="32">
        <f t="shared" si="1"/>
        <v>0</v>
      </c>
      <c r="J26" s="36">
        <v>0</v>
      </c>
      <c r="K26" s="37"/>
      <c r="L26" s="32">
        <f t="shared" si="2"/>
        <v>0</v>
      </c>
      <c r="M26" s="38">
        <v>0</v>
      </c>
      <c r="N26" s="39"/>
      <c r="O26" s="32">
        <f t="shared" si="3"/>
        <v>0</v>
      </c>
      <c r="P26" s="32">
        <f t="shared" si="4"/>
        <v>1</v>
      </c>
      <c r="Q26" s="29"/>
      <c r="R26" s="29"/>
      <c r="IP26" s="24"/>
      <c r="IQ26" s="24"/>
      <c r="IR26" s="24"/>
      <c r="IS26" s="24"/>
      <c r="IT26" s="24"/>
    </row>
    <row r="27" spans="1:254" s="23" customFormat="1" ht="45">
      <c r="A27" s="25" t="s">
        <v>32</v>
      </c>
      <c r="B27" s="25" t="s">
        <v>33</v>
      </c>
      <c r="C27" s="44">
        <f>C28+C29+C30</f>
        <v>6068</v>
      </c>
      <c r="D27" s="44">
        <f>D28+D29+D30</f>
        <v>86</v>
      </c>
      <c r="E27" s="45">
        <f>E28+E29+E30</f>
        <v>0</v>
      </c>
      <c r="F27" s="32">
        <f t="shared" si="0"/>
        <v>86</v>
      </c>
      <c r="G27" s="44">
        <f>G28+G29+G30</f>
        <v>0</v>
      </c>
      <c r="H27" s="45">
        <f>H28+H29+H30</f>
        <v>0</v>
      </c>
      <c r="I27" s="32">
        <f t="shared" si="1"/>
        <v>0</v>
      </c>
      <c r="J27" s="44">
        <f>J28+J29+J30</f>
        <v>2990</v>
      </c>
      <c r="K27" s="45">
        <f>K28+K29+K30</f>
        <v>0</v>
      </c>
      <c r="L27" s="32">
        <f t="shared" si="2"/>
        <v>2990</v>
      </c>
      <c r="M27" s="44">
        <f>M28+M29+M30</f>
        <v>2992</v>
      </c>
      <c r="N27" s="45">
        <f>N28+N29+N30</f>
        <v>0</v>
      </c>
      <c r="O27" s="32">
        <f t="shared" si="3"/>
        <v>2992</v>
      </c>
      <c r="P27" s="32">
        <f t="shared" si="4"/>
        <v>6068</v>
      </c>
      <c r="Q27" s="29"/>
      <c r="R27" s="29"/>
      <c r="IP27" s="24"/>
      <c r="IQ27" s="24"/>
      <c r="IR27" s="24"/>
      <c r="IS27" s="24"/>
      <c r="IT27" s="24"/>
    </row>
    <row r="28" spans="1:254" s="23" customFormat="1" ht="15.75" customHeight="1">
      <c r="A28" s="46" t="s">
        <v>34</v>
      </c>
      <c r="B28" s="47"/>
      <c r="C28" s="48">
        <f>D28+G28+J28+M28</f>
        <v>764</v>
      </c>
      <c r="D28" s="36">
        <v>13</v>
      </c>
      <c r="E28" s="37"/>
      <c r="F28" s="32">
        <f t="shared" si="0"/>
        <v>13</v>
      </c>
      <c r="G28" s="36">
        <v>0</v>
      </c>
      <c r="H28" s="37"/>
      <c r="I28" s="32">
        <f t="shared" si="1"/>
        <v>0</v>
      </c>
      <c r="J28" s="36">
        <v>375</v>
      </c>
      <c r="K28" s="37"/>
      <c r="L28" s="32">
        <f t="shared" si="2"/>
        <v>375</v>
      </c>
      <c r="M28" s="38">
        <v>376</v>
      </c>
      <c r="N28" s="39"/>
      <c r="O28" s="32">
        <f t="shared" si="3"/>
        <v>376</v>
      </c>
      <c r="P28" s="32">
        <f t="shared" si="4"/>
        <v>764</v>
      </c>
      <c r="Q28" s="29"/>
      <c r="R28" s="29"/>
      <c r="IP28" s="24"/>
      <c r="IQ28" s="24"/>
      <c r="IR28" s="24"/>
      <c r="IS28" s="24"/>
      <c r="IT28" s="24"/>
    </row>
    <row r="29" spans="1:254" s="23" customFormat="1" ht="16.5" customHeight="1">
      <c r="A29" s="41" t="s">
        <v>35</v>
      </c>
      <c r="B29" s="49"/>
      <c r="C29" s="48">
        <f>D29+G29+J29+M29</f>
        <v>4322</v>
      </c>
      <c r="D29" s="36">
        <v>72</v>
      </c>
      <c r="E29" s="37"/>
      <c r="F29" s="32">
        <f t="shared" si="0"/>
        <v>72</v>
      </c>
      <c r="G29" s="36">
        <v>0</v>
      </c>
      <c r="H29" s="37"/>
      <c r="I29" s="32">
        <f t="shared" si="1"/>
        <v>0</v>
      </c>
      <c r="J29" s="36">
        <v>2125</v>
      </c>
      <c r="K29" s="37"/>
      <c r="L29" s="32">
        <f t="shared" si="2"/>
        <v>2125</v>
      </c>
      <c r="M29" s="38">
        <v>2125</v>
      </c>
      <c r="N29" s="39"/>
      <c r="O29" s="32">
        <f t="shared" si="3"/>
        <v>2125</v>
      </c>
      <c r="P29" s="32">
        <f t="shared" si="4"/>
        <v>4322</v>
      </c>
      <c r="Q29" s="29"/>
      <c r="R29" s="29"/>
      <c r="IP29" s="24"/>
      <c r="IQ29" s="24"/>
      <c r="IR29" s="24"/>
      <c r="IS29" s="24"/>
      <c r="IT29" s="24"/>
    </row>
    <row r="30" spans="1:254" s="23" customFormat="1" ht="15.75" customHeight="1">
      <c r="A30" s="41" t="s">
        <v>36</v>
      </c>
      <c r="B30" s="50"/>
      <c r="C30" s="48">
        <f>D30+G30+J30+M30</f>
        <v>982</v>
      </c>
      <c r="D30" s="36">
        <v>1</v>
      </c>
      <c r="E30" s="37"/>
      <c r="F30" s="32">
        <f t="shared" si="0"/>
        <v>1</v>
      </c>
      <c r="G30" s="36">
        <v>0</v>
      </c>
      <c r="H30" s="37"/>
      <c r="I30" s="32">
        <f t="shared" si="1"/>
        <v>0</v>
      </c>
      <c r="J30" s="36">
        <v>490</v>
      </c>
      <c r="K30" s="37"/>
      <c r="L30" s="32">
        <f t="shared" si="2"/>
        <v>490</v>
      </c>
      <c r="M30" s="38">
        <v>491</v>
      </c>
      <c r="N30" s="39"/>
      <c r="O30" s="32">
        <f t="shared" si="3"/>
        <v>491</v>
      </c>
      <c r="P30" s="32">
        <f t="shared" si="4"/>
        <v>982</v>
      </c>
      <c r="Q30" s="29"/>
      <c r="R30" s="29"/>
      <c r="IP30" s="24"/>
      <c r="IQ30" s="24"/>
      <c r="IR30" s="24"/>
      <c r="IS30" s="24"/>
      <c r="IT30" s="24"/>
    </row>
    <row r="31" spans="1:254" s="23" customFormat="1" ht="18" customHeight="1" hidden="1">
      <c r="A31" s="41"/>
      <c r="B31" s="25"/>
      <c r="C31" s="48"/>
      <c r="D31" s="36"/>
      <c r="E31" s="37"/>
      <c r="F31" s="32">
        <f t="shared" si="0"/>
        <v>0</v>
      </c>
      <c r="G31" s="36"/>
      <c r="H31" s="37"/>
      <c r="I31" s="32">
        <f t="shared" si="1"/>
        <v>0</v>
      </c>
      <c r="J31" s="36"/>
      <c r="K31" s="37"/>
      <c r="L31" s="32">
        <f t="shared" si="2"/>
        <v>0</v>
      </c>
      <c r="M31" s="38"/>
      <c r="N31" s="39"/>
      <c r="O31" s="32">
        <f t="shared" si="3"/>
        <v>0</v>
      </c>
      <c r="P31" s="32">
        <f t="shared" si="4"/>
        <v>0</v>
      </c>
      <c r="Q31" s="29"/>
      <c r="R31" s="29"/>
      <c r="IP31" s="24"/>
      <c r="IQ31" s="24"/>
      <c r="IR31" s="24"/>
      <c r="IS31" s="24"/>
      <c r="IT31" s="24"/>
    </row>
    <row r="32" spans="1:254" s="23" customFormat="1" ht="18" customHeight="1" hidden="1">
      <c r="A32" s="42"/>
      <c r="B32" s="25"/>
      <c r="C32" s="44">
        <f>C33+C34+C35+C36</f>
        <v>6068</v>
      </c>
      <c r="D32" s="44">
        <f>D33+D34+D35+D36</f>
        <v>86</v>
      </c>
      <c r="E32" s="45">
        <f>E33+E34+E35+E36</f>
        <v>0</v>
      </c>
      <c r="F32" s="32">
        <f t="shared" si="0"/>
        <v>86</v>
      </c>
      <c r="G32" s="44">
        <f>G33+G34+G35+G36</f>
        <v>0</v>
      </c>
      <c r="H32" s="45">
        <f>H33+H34+H35+H36</f>
        <v>0</v>
      </c>
      <c r="I32" s="32">
        <f t="shared" si="1"/>
        <v>0</v>
      </c>
      <c r="J32" s="44">
        <f>J33+J34+J35+J36</f>
        <v>2990</v>
      </c>
      <c r="K32" s="45">
        <f>K33+K34+K35+K36</f>
        <v>0</v>
      </c>
      <c r="L32" s="32">
        <f t="shared" si="2"/>
        <v>2990</v>
      </c>
      <c r="M32" s="44">
        <f>M33+M34+M35+M36</f>
        <v>2992</v>
      </c>
      <c r="N32" s="45">
        <f>N33+N34+N35+N36</f>
        <v>0</v>
      </c>
      <c r="O32" s="32">
        <f t="shared" si="3"/>
        <v>2992</v>
      </c>
      <c r="P32" s="32">
        <f t="shared" si="4"/>
        <v>6068</v>
      </c>
      <c r="Q32" s="29"/>
      <c r="R32" s="29"/>
      <c r="IP32" s="24"/>
      <c r="IQ32" s="24"/>
      <c r="IR32" s="24"/>
      <c r="IS32" s="24"/>
      <c r="IT32" s="24"/>
    </row>
    <row r="33" spans="1:254" s="23" customFormat="1" ht="17.25" customHeight="1" hidden="1">
      <c r="A33" s="41" t="s">
        <v>37</v>
      </c>
      <c r="B33" s="25"/>
      <c r="C33" s="48">
        <f>D33+G33+J33+M33</f>
        <v>661</v>
      </c>
      <c r="D33" s="36">
        <v>11</v>
      </c>
      <c r="E33" s="37"/>
      <c r="F33" s="32">
        <f t="shared" si="0"/>
        <v>11</v>
      </c>
      <c r="G33" s="36">
        <v>0</v>
      </c>
      <c r="H33" s="37"/>
      <c r="I33" s="32">
        <f t="shared" si="1"/>
        <v>0</v>
      </c>
      <c r="J33" s="36">
        <v>325</v>
      </c>
      <c r="K33" s="37"/>
      <c r="L33" s="32">
        <f t="shared" si="2"/>
        <v>325</v>
      </c>
      <c r="M33" s="36">
        <v>325</v>
      </c>
      <c r="N33" s="37"/>
      <c r="O33" s="32">
        <f t="shared" si="3"/>
        <v>325</v>
      </c>
      <c r="P33" s="32">
        <f t="shared" si="4"/>
        <v>661</v>
      </c>
      <c r="Q33" s="29"/>
      <c r="R33" s="29"/>
      <c r="IP33" s="24"/>
      <c r="IQ33" s="24"/>
      <c r="IR33" s="24"/>
      <c r="IS33" s="24"/>
      <c r="IT33" s="24"/>
    </row>
    <row r="34" spans="1:254" s="23" customFormat="1" ht="18" customHeight="1" hidden="1">
      <c r="A34" s="41" t="s">
        <v>38</v>
      </c>
      <c r="B34" s="25"/>
      <c r="C34" s="48">
        <f>D34+G34+J34+M34</f>
        <v>4322</v>
      </c>
      <c r="D34" s="36">
        <v>72</v>
      </c>
      <c r="E34" s="37"/>
      <c r="F34" s="32">
        <f t="shared" si="0"/>
        <v>72</v>
      </c>
      <c r="G34" s="36">
        <v>0</v>
      </c>
      <c r="H34" s="37"/>
      <c r="I34" s="32">
        <f t="shared" si="1"/>
        <v>0</v>
      </c>
      <c r="J34" s="36">
        <v>2125</v>
      </c>
      <c r="K34" s="37"/>
      <c r="L34" s="32">
        <f t="shared" si="2"/>
        <v>2125</v>
      </c>
      <c r="M34" s="36">
        <v>2125</v>
      </c>
      <c r="N34" s="37"/>
      <c r="O34" s="32">
        <f t="shared" si="3"/>
        <v>2125</v>
      </c>
      <c r="P34" s="32">
        <f t="shared" si="4"/>
        <v>4322</v>
      </c>
      <c r="Q34" s="29"/>
      <c r="R34" s="51"/>
      <c r="IP34" s="24"/>
      <c r="IQ34" s="24"/>
      <c r="IR34" s="24"/>
      <c r="IS34" s="24"/>
      <c r="IT34" s="24"/>
    </row>
    <row r="35" spans="1:254" s="51" customFormat="1" ht="18" customHeight="1" hidden="1">
      <c r="A35" s="52" t="s">
        <v>39</v>
      </c>
      <c r="B35" s="53"/>
      <c r="C35" s="54">
        <f>D35+G35+J35+M35</f>
        <v>0</v>
      </c>
      <c r="D35" s="36">
        <v>0</v>
      </c>
      <c r="E35" s="37"/>
      <c r="F35" s="32">
        <f t="shared" si="0"/>
        <v>0</v>
      </c>
      <c r="G35" s="36">
        <v>0</v>
      </c>
      <c r="H35" s="37"/>
      <c r="I35" s="32">
        <f t="shared" si="1"/>
        <v>0</v>
      </c>
      <c r="J35" s="36">
        <v>0</v>
      </c>
      <c r="K35" s="37"/>
      <c r="L35" s="32">
        <f t="shared" si="2"/>
        <v>0</v>
      </c>
      <c r="M35" s="38">
        <v>0</v>
      </c>
      <c r="N35" s="39"/>
      <c r="O35" s="32">
        <f t="shared" si="3"/>
        <v>0</v>
      </c>
      <c r="P35" s="32">
        <f t="shared" si="4"/>
        <v>0</v>
      </c>
      <c r="IP35" s="55"/>
      <c r="IQ35" s="55"/>
      <c r="IR35" s="55"/>
      <c r="IS35" s="55"/>
      <c r="IT35" s="55"/>
    </row>
    <row r="36" spans="1:254" s="23" customFormat="1" ht="30" hidden="1">
      <c r="A36" s="52" t="s">
        <v>40</v>
      </c>
      <c r="B36" s="25"/>
      <c r="C36" s="48">
        <f>D36+G36+J36+M36</f>
        <v>1085</v>
      </c>
      <c r="D36" s="48">
        <v>3</v>
      </c>
      <c r="E36" s="56"/>
      <c r="F36" s="32">
        <f t="shared" si="0"/>
        <v>3</v>
      </c>
      <c r="G36" s="48">
        <v>0</v>
      </c>
      <c r="H36" s="56"/>
      <c r="I36" s="32">
        <f t="shared" si="1"/>
        <v>0</v>
      </c>
      <c r="J36" s="48">
        <v>540</v>
      </c>
      <c r="K36" s="56"/>
      <c r="L36" s="32">
        <f t="shared" si="2"/>
        <v>540</v>
      </c>
      <c r="M36" s="48">
        <v>542</v>
      </c>
      <c r="N36" s="56"/>
      <c r="O36" s="32">
        <f t="shared" si="3"/>
        <v>542</v>
      </c>
      <c r="P36" s="32">
        <f t="shared" si="4"/>
        <v>1085</v>
      </c>
      <c r="Q36" s="29"/>
      <c r="R36" s="29"/>
      <c r="IP36" s="24"/>
      <c r="IQ36" s="24"/>
      <c r="IR36" s="24"/>
      <c r="IS36" s="24"/>
      <c r="IT36" s="24"/>
    </row>
    <row r="37" spans="1:254" s="23" customFormat="1" ht="42" customHeight="1">
      <c r="A37" s="25" t="s">
        <v>32</v>
      </c>
      <c r="B37" s="25" t="s">
        <v>41</v>
      </c>
      <c r="C37" s="32">
        <f>C38+C39+C40</f>
        <v>5802</v>
      </c>
      <c r="D37" s="32">
        <f>D38+D39+D40</f>
        <v>1243</v>
      </c>
      <c r="E37" s="33">
        <f>E38+E39+E40</f>
        <v>0</v>
      </c>
      <c r="F37" s="32">
        <f t="shared" si="0"/>
        <v>1243</v>
      </c>
      <c r="G37" s="32">
        <f>G38+G39+G40</f>
        <v>1519</v>
      </c>
      <c r="H37" s="33">
        <f>H38+H39+H40</f>
        <v>0</v>
      </c>
      <c r="I37" s="32">
        <f t="shared" si="1"/>
        <v>1519</v>
      </c>
      <c r="J37" s="32">
        <f>J38+J39+J40</f>
        <v>1519</v>
      </c>
      <c r="K37" s="33">
        <f>K38+K39+K40</f>
        <v>0</v>
      </c>
      <c r="L37" s="32">
        <f t="shared" si="2"/>
        <v>1519</v>
      </c>
      <c r="M37" s="32">
        <f>M38+M39+M40</f>
        <v>1521</v>
      </c>
      <c r="N37" s="33">
        <f>N38+N39+N40</f>
        <v>0</v>
      </c>
      <c r="O37" s="32">
        <f t="shared" si="3"/>
        <v>1521</v>
      </c>
      <c r="P37" s="32">
        <f t="shared" si="4"/>
        <v>5802</v>
      </c>
      <c r="Q37" s="29"/>
      <c r="R37" s="29"/>
      <c r="IP37" s="24"/>
      <c r="IQ37" s="24"/>
      <c r="IR37" s="24"/>
      <c r="IS37" s="24"/>
      <c r="IT37" s="24"/>
    </row>
    <row r="38" spans="1:254" s="23" customFormat="1" ht="16.5" customHeight="1">
      <c r="A38" s="46" t="s">
        <v>34</v>
      </c>
      <c r="B38" s="57"/>
      <c r="C38" s="36">
        <f>D38+G38+J38+M38</f>
        <v>579</v>
      </c>
      <c r="D38" s="36">
        <v>186</v>
      </c>
      <c r="E38" s="37"/>
      <c r="F38" s="32">
        <f t="shared" si="0"/>
        <v>186</v>
      </c>
      <c r="G38" s="36">
        <v>131</v>
      </c>
      <c r="H38" s="37"/>
      <c r="I38" s="32">
        <f t="shared" si="1"/>
        <v>131</v>
      </c>
      <c r="J38" s="36">
        <v>131</v>
      </c>
      <c r="K38" s="37"/>
      <c r="L38" s="32">
        <f t="shared" si="2"/>
        <v>131</v>
      </c>
      <c r="M38" s="38">
        <v>131</v>
      </c>
      <c r="N38" s="39"/>
      <c r="O38" s="32">
        <f t="shared" si="3"/>
        <v>131</v>
      </c>
      <c r="P38" s="32">
        <f t="shared" si="4"/>
        <v>579</v>
      </c>
      <c r="Q38" s="29"/>
      <c r="R38" s="29"/>
      <c r="IP38" s="24"/>
      <c r="IQ38" s="24"/>
      <c r="IR38" s="24"/>
      <c r="IS38" s="24"/>
      <c r="IT38" s="24"/>
    </row>
    <row r="39" spans="1:254" s="23" customFormat="1" ht="15.75" customHeight="1">
      <c r="A39" s="41" t="s">
        <v>35</v>
      </c>
      <c r="B39" s="58"/>
      <c r="C39" s="36">
        <f>D39+G39+J39+M39</f>
        <v>3286</v>
      </c>
      <c r="D39" s="36">
        <v>1056</v>
      </c>
      <c r="E39" s="37"/>
      <c r="F39" s="32">
        <f t="shared" si="0"/>
        <v>1056</v>
      </c>
      <c r="G39" s="36">
        <v>743</v>
      </c>
      <c r="H39" s="37"/>
      <c r="I39" s="32">
        <f t="shared" si="1"/>
        <v>743</v>
      </c>
      <c r="J39" s="36">
        <v>743</v>
      </c>
      <c r="K39" s="37"/>
      <c r="L39" s="32">
        <f t="shared" si="2"/>
        <v>743</v>
      </c>
      <c r="M39" s="38">
        <v>744</v>
      </c>
      <c r="N39" s="39"/>
      <c r="O39" s="32">
        <f t="shared" si="3"/>
        <v>744</v>
      </c>
      <c r="P39" s="32">
        <f t="shared" si="4"/>
        <v>3286</v>
      </c>
      <c r="Q39" s="29"/>
      <c r="R39" s="29"/>
      <c r="IP39" s="24"/>
      <c r="IQ39" s="24"/>
      <c r="IR39" s="24"/>
      <c r="IS39" s="24"/>
      <c r="IT39" s="24"/>
    </row>
    <row r="40" spans="1:254" s="23" customFormat="1" ht="16.5" customHeight="1">
      <c r="A40" s="41" t="s">
        <v>36</v>
      </c>
      <c r="B40" s="59"/>
      <c r="C40" s="36">
        <f>D40+G40+J40+M40</f>
        <v>1937</v>
      </c>
      <c r="D40" s="36">
        <v>1</v>
      </c>
      <c r="E40" s="37"/>
      <c r="F40" s="32">
        <f t="shared" si="0"/>
        <v>1</v>
      </c>
      <c r="G40" s="36">
        <v>645</v>
      </c>
      <c r="H40" s="37"/>
      <c r="I40" s="32">
        <f t="shared" si="1"/>
        <v>645</v>
      </c>
      <c r="J40" s="36">
        <v>645</v>
      </c>
      <c r="K40" s="37"/>
      <c r="L40" s="32">
        <f t="shared" si="2"/>
        <v>645</v>
      </c>
      <c r="M40" s="38">
        <v>646</v>
      </c>
      <c r="N40" s="39"/>
      <c r="O40" s="32">
        <f t="shared" si="3"/>
        <v>646</v>
      </c>
      <c r="P40" s="32">
        <f t="shared" si="4"/>
        <v>1937</v>
      </c>
      <c r="Q40" s="29"/>
      <c r="R40" s="29"/>
      <c r="IP40" s="24"/>
      <c r="IQ40" s="24"/>
      <c r="IR40" s="24"/>
      <c r="IS40" s="24"/>
      <c r="IT40" s="24"/>
    </row>
    <row r="41" spans="1:254" s="23" customFormat="1" ht="16.5" customHeight="1" hidden="1">
      <c r="A41" s="41"/>
      <c r="B41" s="25"/>
      <c r="C41" s="36"/>
      <c r="D41" s="36"/>
      <c r="E41" s="37"/>
      <c r="F41" s="32">
        <f t="shared" si="0"/>
        <v>0</v>
      </c>
      <c r="G41" s="36"/>
      <c r="H41" s="37"/>
      <c r="I41" s="32">
        <f t="shared" si="1"/>
        <v>0</v>
      </c>
      <c r="J41" s="36"/>
      <c r="K41" s="37"/>
      <c r="L41" s="32">
        <f t="shared" si="2"/>
        <v>0</v>
      </c>
      <c r="M41" s="38"/>
      <c r="N41" s="39"/>
      <c r="O41" s="32">
        <f t="shared" si="3"/>
        <v>0</v>
      </c>
      <c r="P41" s="32">
        <f t="shared" si="4"/>
        <v>0</v>
      </c>
      <c r="Q41" s="29"/>
      <c r="R41" s="29"/>
      <c r="IP41" s="24"/>
      <c r="IQ41" s="24"/>
      <c r="IR41" s="24"/>
      <c r="IS41" s="24"/>
      <c r="IT41" s="24"/>
    </row>
    <row r="42" spans="1:254" s="23" customFormat="1" ht="18" customHeight="1" hidden="1">
      <c r="A42" s="42"/>
      <c r="B42" s="25"/>
      <c r="C42" s="32">
        <f>C43+C44+C45+C46</f>
        <v>5802</v>
      </c>
      <c r="D42" s="32">
        <f>D43+D44+D45+D46</f>
        <v>1243</v>
      </c>
      <c r="E42" s="33">
        <f>E43+E44+E45+E46</f>
        <v>0</v>
      </c>
      <c r="F42" s="32">
        <f t="shared" si="0"/>
        <v>1243</v>
      </c>
      <c r="G42" s="32">
        <f>G43+G44+G45+G46</f>
        <v>1519</v>
      </c>
      <c r="H42" s="33">
        <f>H43+H44+H45+H46</f>
        <v>0</v>
      </c>
      <c r="I42" s="32">
        <f t="shared" si="1"/>
        <v>1519</v>
      </c>
      <c r="J42" s="32">
        <f>J43+J44+J45+J46</f>
        <v>1519</v>
      </c>
      <c r="K42" s="33">
        <f>K43+K44+K45+K46</f>
        <v>0</v>
      </c>
      <c r="L42" s="32">
        <f t="shared" si="2"/>
        <v>1519</v>
      </c>
      <c r="M42" s="32">
        <f>M43+M44+M45+M46</f>
        <v>1521</v>
      </c>
      <c r="N42" s="33">
        <f>N43+N44+N45+N46</f>
        <v>0</v>
      </c>
      <c r="O42" s="32">
        <f t="shared" si="3"/>
        <v>1521</v>
      </c>
      <c r="P42" s="32">
        <f t="shared" si="4"/>
        <v>5802</v>
      </c>
      <c r="Q42" s="29"/>
      <c r="R42" s="29"/>
      <c r="IP42" s="24"/>
      <c r="IQ42" s="24"/>
      <c r="IR42" s="24"/>
      <c r="IS42" s="24"/>
      <c r="IT42" s="24"/>
    </row>
    <row r="43" spans="1:254" s="23" customFormat="1" ht="17.25" customHeight="1" hidden="1">
      <c r="A43" s="41" t="s">
        <v>37</v>
      </c>
      <c r="B43" s="25"/>
      <c r="C43" s="48">
        <f>D43+G43+J43+M43</f>
        <v>503</v>
      </c>
      <c r="D43" s="36">
        <v>161</v>
      </c>
      <c r="E43" s="37"/>
      <c r="F43" s="32">
        <f t="shared" si="0"/>
        <v>161</v>
      </c>
      <c r="G43" s="36">
        <v>114</v>
      </c>
      <c r="H43" s="37"/>
      <c r="I43" s="32">
        <f t="shared" si="1"/>
        <v>114</v>
      </c>
      <c r="J43" s="36">
        <v>114</v>
      </c>
      <c r="K43" s="37"/>
      <c r="L43" s="32">
        <f t="shared" si="2"/>
        <v>114</v>
      </c>
      <c r="M43" s="36">
        <v>114</v>
      </c>
      <c r="N43" s="37"/>
      <c r="O43" s="32">
        <f t="shared" si="3"/>
        <v>114</v>
      </c>
      <c r="P43" s="32">
        <f t="shared" si="4"/>
        <v>503</v>
      </c>
      <c r="Q43" s="29"/>
      <c r="R43" s="29"/>
      <c r="IP43" s="24"/>
      <c r="IQ43" s="24"/>
      <c r="IR43" s="24"/>
      <c r="IS43" s="24"/>
      <c r="IT43" s="24"/>
    </row>
    <row r="44" spans="1:254" s="23" customFormat="1" ht="17.25" customHeight="1" hidden="1">
      <c r="A44" s="41" t="s">
        <v>38</v>
      </c>
      <c r="B44" s="25"/>
      <c r="C44" s="48">
        <f>D44+G44+J44+M44</f>
        <v>3286</v>
      </c>
      <c r="D44" s="36">
        <v>1056</v>
      </c>
      <c r="E44" s="37"/>
      <c r="F44" s="32">
        <f t="shared" si="0"/>
        <v>1056</v>
      </c>
      <c r="G44" s="36">
        <v>743</v>
      </c>
      <c r="H44" s="37"/>
      <c r="I44" s="32">
        <f t="shared" si="1"/>
        <v>743</v>
      </c>
      <c r="J44" s="36">
        <v>743</v>
      </c>
      <c r="K44" s="37"/>
      <c r="L44" s="32">
        <f t="shared" si="2"/>
        <v>743</v>
      </c>
      <c r="M44" s="36">
        <v>744</v>
      </c>
      <c r="N44" s="37"/>
      <c r="O44" s="32">
        <f t="shared" si="3"/>
        <v>744</v>
      </c>
      <c r="P44" s="32">
        <f t="shared" si="4"/>
        <v>3286</v>
      </c>
      <c r="Q44" s="29"/>
      <c r="R44" s="29"/>
      <c r="IP44" s="24"/>
      <c r="IQ44" s="24"/>
      <c r="IR44" s="24"/>
      <c r="IS44" s="24"/>
      <c r="IT44" s="24"/>
    </row>
    <row r="45" spans="1:254" s="23" customFormat="1" ht="18" customHeight="1" hidden="1">
      <c r="A45" s="41" t="s">
        <v>39</v>
      </c>
      <c r="B45" s="25"/>
      <c r="C45" s="54">
        <f>D45+G45+J45+M45</f>
        <v>0</v>
      </c>
      <c r="D45" s="36">
        <v>0</v>
      </c>
      <c r="E45" s="37"/>
      <c r="F45" s="32">
        <f t="shared" si="0"/>
        <v>0</v>
      </c>
      <c r="G45" s="36">
        <v>0</v>
      </c>
      <c r="H45" s="37"/>
      <c r="I45" s="32">
        <f t="shared" si="1"/>
        <v>0</v>
      </c>
      <c r="J45" s="36">
        <v>0</v>
      </c>
      <c r="K45" s="37"/>
      <c r="L45" s="32">
        <f t="shared" si="2"/>
        <v>0</v>
      </c>
      <c r="M45" s="38">
        <v>0</v>
      </c>
      <c r="N45" s="39"/>
      <c r="O45" s="32">
        <f t="shared" si="3"/>
        <v>0</v>
      </c>
      <c r="P45" s="32">
        <f t="shared" si="4"/>
        <v>0</v>
      </c>
      <c r="Q45" s="29"/>
      <c r="R45" s="29"/>
      <c r="IP45" s="24"/>
      <c r="IQ45" s="24"/>
      <c r="IR45" s="24"/>
      <c r="IS45" s="24"/>
      <c r="IT45" s="24"/>
    </row>
    <row r="46" spans="1:254" s="23" customFormat="1" ht="30" hidden="1">
      <c r="A46" s="52" t="s">
        <v>40</v>
      </c>
      <c r="B46" s="25"/>
      <c r="C46" s="48">
        <f>D46+G46+J46+M46</f>
        <v>2013</v>
      </c>
      <c r="D46" s="48">
        <v>26</v>
      </c>
      <c r="E46" s="56"/>
      <c r="F46" s="32">
        <f t="shared" si="0"/>
        <v>26</v>
      </c>
      <c r="G46" s="48">
        <v>662</v>
      </c>
      <c r="H46" s="56"/>
      <c r="I46" s="32">
        <f t="shared" si="1"/>
        <v>662</v>
      </c>
      <c r="J46" s="48">
        <v>662</v>
      </c>
      <c r="K46" s="56"/>
      <c r="L46" s="32">
        <f t="shared" si="2"/>
        <v>662</v>
      </c>
      <c r="M46" s="48">
        <v>663</v>
      </c>
      <c r="N46" s="56"/>
      <c r="O46" s="32">
        <f t="shared" si="3"/>
        <v>663</v>
      </c>
      <c r="P46" s="32">
        <f t="shared" si="4"/>
        <v>2013</v>
      </c>
      <c r="Q46" s="29"/>
      <c r="R46" s="29"/>
      <c r="IP46" s="24"/>
      <c r="IQ46" s="24"/>
      <c r="IR46" s="24"/>
      <c r="IS46" s="24"/>
      <c r="IT46" s="24"/>
    </row>
    <row r="47" spans="1:254" s="23" customFormat="1" ht="45">
      <c r="A47" s="25" t="s">
        <v>32</v>
      </c>
      <c r="B47" s="25" t="s">
        <v>42</v>
      </c>
      <c r="C47" s="32">
        <f>C48+C49+C50</f>
        <v>4346</v>
      </c>
      <c r="D47" s="32">
        <f>D48+D49+D50</f>
        <v>24</v>
      </c>
      <c r="E47" s="33">
        <f>E48+E49+E50</f>
        <v>0</v>
      </c>
      <c r="F47" s="32">
        <f t="shared" si="0"/>
        <v>24</v>
      </c>
      <c r="G47" s="32">
        <f>G48+G49+G50</f>
        <v>1433</v>
      </c>
      <c r="H47" s="33">
        <f>H48+H49+H50</f>
        <v>0</v>
      </c>
      <c r="I47" s="32">
        <f t="shared" si="1"/>
        <v>1433</v>
      </c>
      <c r="J47" s="32">
        <f>J48+J49+J50</f>
        <v>1443</v>
      </c>
      <c r="K47" s="33">
        <f>K48+K49+K50</f>
        <v>0</v>
      </c>
      <c r="L47" s="32">
        <f t="shared" si="2"/>
        <v>1443</v>
      </c>
      <c r="M47" s="32">
        <f>M48+M49+M50</f>
        <v>1446</v>
      </c>
      <c r="N47" s="33">
        <f>N48+N49+N50</f>
        <v>0</v>
      </c>
      <c r="O47" s="32">
        <f t="shared" si="3"/>
        <v>1446</v>
      </c>
      <c r="P47" s="32">
        <f t="shared" si="4"/>
        <v>4346</v>
      </c>
      <c r="Q47" s="29"/>
      <c r="R47" s="29"/>
      <c r="IP47" s="24"/>
      <c r="IQ47" s="24"/>
      <c r="IR47" s="24"/>
      <c r="IS47" s="24"/>
      <c r="IT47" s="24"/>
    </row>
    <row r="48" spans="1:254" s="23" customFormat="1" ht="17.25" customHeight="1">
      <c r="A48" s="46" t="s">
        <v>34</v>
      </c>
      <c r="B48" s="60"/>
      <c r="C48" s="36">
        <f>D48+G48+J48+M48</f>
        <v>501</v>
      </c>
      <c r="D48" s="36">
        <v>4</v>
      </c>
      <c r="E48" s="37"/>
      <c r="F48" s="32">
        <f t="shared" si="0"/>
        <v>4</v>
      </c>
      <c r="G48" s="36">
        <v>164</v>
      </c>
      <c r="H48" s="37"/>
      <c r="I48" s="32">
        <f t="shared" si="1"/>
        <v>164</v>
      </c>
      <c r="J48" s="36">
        <v>166</v>
      </c>
      <c r="K48" s="37"/>
      <c r="L48" s="32">
        <f t="shared" si="2"/>
        <v>166</v>
      </c>
      <c r="M48" s="38">
        <v>167</v>
      </c>
      <c r="N48" s="39"/>
      <c r="O48" s="32">
        <f t="shared" si="3"/>
        <v>167</v>
      </c>
      <c r="P48" s="32">
        <f t="shared" si="4"/>
        <v>501</v>
      </c>
      <c r="Q48" s="29"/>
      <c r="R48" s="29"/>
      <c r="IP48" s="24"/>
      <c r="IQ48" s="24"/>
      <c r="IR48" s="24"/>
      <c r="IS48" s="24"/>
      <c r="IT48" s="24"/>
    </row>
    <row r="49" spans="1:254" s="23" customFormat="1" ht="18" customHeight="1">
      <c r="A49" s="41" t="s">
        <v>35</v>
      </c>
      <c r="B49" s="61"/>
      <c r="C49" s="36">
        <f>D49+G49+J49+M49</f>
        <v>2842</v>
      </c>
      <c r="D49" s="36">
        <v>19</v>
      </c>
      <c r="E49" s="37"/>
      <c r="F49" s="32">
        <f t="shared" si="0"/>
        <v>19</v>
      </c>
      <c r="G49" s="36">
        <v>935</v>
      </c>
      <c r="H49" s="37"/>
      <c r="I49" s="32">
        <f t="shared" si="1"/>
        <v>935</v>
      </c>
      <c r="J49" s="36">
        <v>943</v>
      </c>
      <c r="K49" s="37"/>
      <c r="L49" s="32">
        <f t="shared" si="2"/>
        <v>943</v>
      </c>
      <c r="M49" s="38">
        <v>945</v>
      </c>
      <c r="N49" s="39"/>
      <c r="O49" s="32">
        <f t="shared" si="3"/>
        <v>945</v>
      </c>
      <c r="P49" s="32">
        <f t="shared" si="4"/>
        <v>2842</v>
      </c>
      <c r="Q49" s="29"/>
      <c r="R49" s="29"/>
      <c r="IP49" s="24"/>
      <c r="IQ49" s="24"/>
      <c r="IR49" s="24"/>
      <c r="IS49" s="24"/>
      <c r="IT49" s="24"/>
    </row>
    <row r="50" spans="1:254" s="23" customFormat="1" ht="16.5" customHeight="1">
      <c r="A50" s="41" t="s">
        <v>36</v>
      </c>
      <c r="B50" s="61"/>
      <c r="C50" s="36">
        <f>D50+G50+J50+M50</f>
        <v>1003</v>
      </c>
      <c r="D50" s="36">
        <v>1</v>
      </c>
      <c r="E50" s="37"/>
      <c r="F50" s="32">
        <f t="shared" si="0"/>
        <v>1</v>
      </c>
      <c r="G50" s="36">
        <v>334</v>
      </c>
      <c r="H50" s="37"/>
      <c r="I50" s="32">
        <f t="shared" si="1"/>
        <v>334</v>
      </c>
      <c r="J50" s="36">
        <v>334</v>
      </c>
      <c r="K50" s="37"/>
      <c r="L50" s="32">
        <f t="shared" si="2"/>
        <v>334</v>
      </c>
      <c r="M50" s="38">
        <v>334</v>
      </c>
      <c r="N50" s="39"/>
      <c r="O50" s="32">
        <f t="shared" si="3"/>
        <v>334</v>
      </c>
      <c r="P50" s="32">
        <f t="shared" si="4"/>
        <v>1003</v>
      </c>
      <c r="Q50" s="29"/>
      <c r="R50" s="29"/>
      <c r="IP50" s="24"/>
      <c r="IQ50" s="24"/>
      <c r="IR50" s="24"/>
      <c r="IS50" s="24"/>
      <c r="IT50" s="24"/>
    </row>
    <row r="51" spans="1:254" s="23" customFormat="1" ht="18.75" customHeight="1" hidden="1">
      <c r="A51" s="41"/>
      <c r="B51" s="62"/>
      <c r="C51" s="36">
        <f>D51+G51+J51+M51</f>
        <v>0</v>
      </c>
      <c r="D51" s="63"/>
      <c r="E51" s="64"/>
      <c r="F51" s="32">
        <f t="shared" si="0"/>
        <v>0</v>
      </c>
      <c r="G51" s="36"/>
      <c r="H51" s="37"/>
      <c r="I51" s="32">
        <f t="shared" si="1"/>
        <v>0</v>
      </c>
      <c r="J51" s="36"/>
      <c r="K51" s="37"/>
      <c r="L51" s="32">
        <f t="shared" si="2"/>
        <v>0</v>
      </c>
      <c r="M51" s="38"/>
      <c r="N51" s="39"/>
      <c r="O51" s="32">
        <f t="shared" si="3"/>
        <v>0</v>
      </c>
      <c r="P51" s="32">
        <f t="shared" si="4"/>
        <v>0</v>
      </c>
      <c r="Q51" s="29"/>
      <c r="R51" s="29"/>
      <c r="IP51" s="24"/>
      <c r="IQ51" s="24"/>
      <c r="IR51" s="24"/>
      <c r="IS51" s="24"/>
      <c r="IT51" s="24"/>
    </row>
    <row r="52" spans="1:254" s="23" customFormat="1" ht="18" customHeight="1" hidden="1">
      <c r="A52" s="42"/>
      <c r="B52" s="25"/>
      <c r="C52" s="36">
        <f aca="true" t="shared" si="5" ref="C52:P52">C54+C55+C56+C53</f>
        <v>4346</v>
      </c>
      <c r="D52" s="36">
        <f t="shared" si="5"/>
        <v>14</v>
      </c>
      <c r="E52" s="37">
        <f t="shared" si="5"/>
        <v>0</v>
      </c>
      <c r="F52" s="36">
        <f t="shared" si="5"/>
        <v>14</v>
      </c>
      <c r="G52" s="36">
        <f t="shared" si="5"/>
        <v>1443</v>
      </c>
      <c r="H52" s="37">
        <f t="shared" si="5"/>
        <v>0</v>
      </c>
      <c r="I52" s="36">
        <f t="shared" si="5"/>
        <v>1443</v>
      </c>
      <c r="J52" s="36">
        <f t="shared" si="5"/>
        <v>1443</v>
      </c>
      <c r="K52" s="37">
        <f t="shared" si="5"/>
        <v>0</v>
      </c>
      <c r="L52" s="36">
        <f t="shared" si="5"/>
        <v>1443</v>
      </c>
      <c r="M52" s="36">
        <f t="shared" si="5"/>
        <v>1446</v>
      </c>
      <c r="N52" s="37">
        <f t="shared" si="5"/>
        <v>0</v>
      </c>
      <c r="O52" s="36">
        <f t="shared" si="5"/>
        <v>1446</v>
      </c>
      <c r="P52" s="36">
        <f t="shared" si="5"/>
        <v>4346</v>
      </c>
      <c r="Q52" s="29"/>
      <c r="R52" s="29"/>
      <c r="IP52" s="24"/>
      <c r="IQ52" s="24"/>
      <c r="IR52" s="24"/>
      <c r="IS52" s="24"/>
      <c r="IT52" s="24"/>
    </row>
    <row r="53" spans="1:254" s="23" customFormat="1" ht="18" customHeight="1" hidden="1">
      <c r="A53" s="41" t="s">
        <v>37</v>
      </c>
      <c r="B53" s="25"/>
      <c r="C53" s="36">
        <f>D53+G53+J53+M53</f>
        <v>435</v>
      </c>
      <c r="D53" s="63">
        <v>2</v>
      </c>
      <c r="E53" s="64"/>
      <c r="F53" s="32">
        <f aca="true" t="shared" si="6" ref="F53:F84">D53+E53</f>
        <v>2</v>
      </c>
      <c r="G53" s="63">
        <v>144</v>
      </c>
      <c r="H53" s="64"/>
      <c r="I53" s="32">
        <f aca="true" t="shared" si="7" ref="I53:I84">G53+H53</f>
        <v>144</v>
      </c>
      <c r="J53" s="36">
        <v>144</v>
      </c>
      <c r="K53" s="37"/>
      <c r="L53" s="32">
        <f aca="true" t="shared" si="8" ref="L53:L84">J53+K53</f>
        <v>144</v>
      </c>
      <c r="M53" s="63">
        <v>145</v>
      </c>
      <c r="N53" s="64"/>
      <c r="O53" s="32">
        <f aca="true" t="shared" si="9" ref="O53:O84">M53+N53</f>
        <v>145</v>
      </c>
      <c r="P53" s="32">
        <f aca="true" t="shared" si="10" ref="P53:P84">F53+I53+L53+O53</f>
        <v>435</v>
      </c>
      <c r="Q53" s="29"/>
      <c r="R53" s="29"/>
      <c r="IP53" s="24"/>
      <c r="IQ53" s="24"/>
      <c r="IR53" s="24"/>
      <c r="IS53" s="24"/>
      <c r="IT53" s="24"/>
    </row>
    <row r="54" spans="1:254" s="23" customFormat="1" ht="18" customHeight="1" hidden="1">
      <c r="A54" s="41" t="s">
        <v>38</v>
      </c>
      <c r="B54" s="25"/>
      <c r="C54" s="36">
        <f>D54+G54+J54+M54</f>
        <v>2842</v>
      </c>
      <c r="D54" s="63">
        <v>11</v>
      </c>
      <c r="E54" s="64"/>
      <c r="F54" s="32">
        <f t="shared" si="6"/>
        <v>11</v>
      </c>
      <c r="G54" s="63">
        <v>943</v>
      </c>
      <c r="H54" s="64"/>
      <c r="I54" s="32">
        <f t="shared" si="7"/>
        <v>943</v>
      </c>
      <c r="J54" s="63">
        <v>943</v>
      </c>
      <c r="K54" s="64"/>
      <c r="L54" s="32">
        <f t="shared" si="8"/>
        <v>943</v>
      </c>
      <c r="M54" s="63">
        <v>945</v>
      </c>
      <c r="N54" s="64"/>
      <c r="O54" s="32">
        <f t="shared" si="9"/>
        <v>945</v>
      </c>
      <c r="P54" s="32">
        <f t="shared" si="10"/>
        <v>2842</v>
      </c>
      <c r="Q54" s="29"/>
      <c r="R54" s="29"/>
      <c r="IP54" s="24"/>
      <c r="IQ54" s="24"/>
      <c r="IR54" s="24"/>
      <c r="IS54" s="24"/>
      <c r="IT54" s="24"/>
    </row>
    <row r="55" spans="1:254" s="23" customFormat="1" ht="18" customHeight="1" hidden="1">
      <c r="A55" s="41" t="s">
        <v>39</v>
      </c>
      <c r="B55" s="25"/>
      <c r="C55" s="36">
        <f>D55+G55+J55+M55</f>
        <v>0</v>
      </c>
      <c r="D55" s="63">
        <v>0</v>
      </c>
      <c r="E55" s="64"/>
      <c r="F55" s="32">
        <f t="shared" si="6"/>
        <v>0</v>
      </c>
      <c r="G55" s="63">
        <v>0</v>
      </c>
      <c r="H55" s="64"/>
      <c r="I55" s="32">
        <f t="shared" si="7"/>
        <v>0</v>
      </c>
      <c r="J55" s="63">
        <v>0</v>
      </c>
      <c r="K55" s="64"/>
      <c r="L55" s="32">
        <f t="shared" si="8"/>
        <v>0</v>
      </c>
      <c r="M55" s="65">
        <v>0</v>
      </c>
      <c r="N55" s="66"/>
      <c r="O55" s="32">
        <f t="shared" si="9"/>
        <v>0</v>
      </c>
      <c r="P55" s="32">
        <f t="shared" si="10"/>
        <v>0</v>
      </c>
      <c r="Q55" s="29"/>
      <c r="R55" s="29"/>
      <c r="IP55" s="24"/>
      <c r="IQ55" s="24"/>
      <c r="IR55" s="24"/>
      <c r="IS55" s="24"/>
      <c r="IT55" s="24"/>
    </row>
    <row r="56" spans="1:254" s="23" customFormat="1" ht="30" hidden="1">
      <c r="A56" s="52" t="s">
        <v>40</v>
      </c>
      <c r="B56" s="25"/>
      <c r="C56" s="48">
        <f>D56+G56+J56+M56</f>
        <v>1069</v>
      </c>
      <c r="D56" s="54">
        <v>1</v>
      </c>
      <c r="E56" s="67"/>
      <c r="F56" s="32">
        <f t="shared" si="6"/>
        <v>1</v>
      </c>
      <c r="G56" s="54">
        <v>356</v>
      </c>
      <c r="H56" s="67"/>
      <c r="I56" s="32">
        <f t="shared" si="7"/>
        <v>356</v>
      </c>
      <c r="J56" s="54">
        <v>356</v>
      </c>
      <c r="K56" s="67"/>
      <c r="L56" s="32">
        <f t="shared" si="8"/>
        <v>356</v>
      </c>
      <c r="M56" s="54">
        <v>356</v>
      </c>
      <c r="N56" s="67"/>
      <c r="O56" s="32">
        <f t="shared" si="9"/>
        <v>356</v>
      </c>
      <c r="P56" s="32">
        <f t="shared" si="10"/>
        <v>1069</v>
      </c>
      <c r="Q56" s="29"/>
      <c r="R56" s="29"/>
      <c r="IP56" s="24"/>
      <c r="IQ56" s="24"/>
      <c r="IR56" s="24"/>
      <c r="IS56" s="24"/>
      <c r="IT56" s="24"/>
    </row>
    <row r="57" spans="1:254" s="23" customFormat="1" ht="42" customHeight="1">
      <c r="A57" s="25" t="s">
        <v>32</v>
      </c>
      <c r="B57" s="31" t="s">
        <v>43</v>
      </c>
      <c r="C57" s="32">
        <f>C58+C59+C60</f>
        <v>6812</v>
      </c>
      <c r="D57" s="32">
        <f>D58+D59+D60</f>
        <v>1612</v>
      </c>
      <c r="E57" s="33">
        <f>E58+E59+E60</f>
        <v>0</v>
      </c>
      <c r="F57" s="32">
        <f t="shared" si="6"/>
        <v>1612</v>
      </c>
      <c r="G57" s="32">
        <f>G58+G59+G60</f>
        <v>1750</v>
      </c>
      <c r="H57" s="33">
        <f>H58+H59+H60</f>
        <v>0</v>
      </c>
      <c r="I57" s="32">
        <f t="shared" si="7"/>
        <v>1750</v>
      </c>
      <c r="J57" s="32">
        <f>J58+J59+J60</f>
        <v>1496</v>
      </c>
      <c r="K57" s="33">
        <f>K58+K59+K60</f>
        <v>0</v>
      </c>
      <c r="L57" s="32">
        <f t="shared" si="8"/>
        <v>1496</v>
      </c>
      <c r="M57" s="32">
        <f>M58+M59+M60</f>
        <v>1954</v>
      </c>
      <c r="N57" s="33">
        <f>N58+N59+N60</f>
        <v>0</v>
      </c>
      <c r="O57" s="32">
        <f t="shared" si="9"/>
        <v>1954</v>
      </c>
      <c r="P57" s="32">
        <f t="shared" si="10"/>
        <v>6812</v>
      </c>
      <c r="Q57" s="29"/>
      <c r="R57" s="29"/>
      <c r="IP57" s="24"/>
      <c r="IQ57" s="24"/>
      <c r="IR57" s="24"/>
      <c r="IS57" s="24"/>
      <c r="IT57" s="24"/>
    </row>
    <row r="58" spans="1:254" s="23" customFormat="1" ht="18" customHeight="1">
      <c r="A58" s="46" t="s">
        <v>34</v>
      </c>
      <c r="B58" s="47"/>
      <c r="C58" s="36">
        <f aca="true" t="shared" si="11" ref="C58:C86">D58+G58+J58+M58</f>
        <v>729</v>
      </c>
      <c r="D58" s="36">
        <v>242</v>
      </c>
      <c r="E58" s="37"/>
      <c r="F58" s="32">
        <f t="shared" si="6"/>
        <v>242</v>
      </c>
      <c r="G58" s="36">
        <v>263</v>
      </c>
      <c r="H58" s="37"/>
      <c r="I58" s="32">
        <f t="shared" si="7"/>
        <v>263</v>
      </c>
      <c r="J58" s="36">
        <v>224</v>
      </c>
      <c r="K58" s="37"/>
      <c r="L58" s="32">
        <f t="shared" si="8"/>
        <v>224</v>
      </c>
      <c r="M58" s="38">
        <v>0</v>
      </c>
      <c r="N58" s="39"/>
      <c r="O58" s="32">
        <f t="shared" si="9"/>
        <v>0</v>
      </c>
      <c r="P58" s="32">
        <f t="shared" si="10"/>
        <v>729</v>
      </c>
      <c r="Q58" s="29"/>
      <c r="R58" s="29"/>
      <c r="IP58" s="24"/>
      <c r="IQ58" s="24"/>
      <c r="IR58" s="24"/>
      <c r="IS58" s="24"/>
      <c r="IT58" s="24"/>
    </row>
    <row r="59" spans="1:254" s="23" customFormat="1" ht="18" customHeight="1">
      <c r="A59" s="41" t="s">
        <v>35</v>
      </c>
      <c r="B59" s="49"/>
      <c r="C59" s="36">
        <f t="shared" si="11"/>
        <v>4129</v>
      </c>
      <c r="D59" s="36">
        <v>1370</v>
      </c>
      <c r="E59" s="37"/>
      <c r="F59" s="32">
        <f t="shared" si="6"/>
        <v>1370</v>
      </c>
      <c r="G59" s="36">
        <v>1487</v>
      </c>
      <c r="H59" s="37"/>
      <c r="I59" s="32">
        <f t="shared" si="7"/>
        <v>1487</v>
      </c>
      <c r="J59" s="36">
        <v>1272</v>
      </c>
      <c r="K59" s="37"/>
      <c r="L59" s="32">
        <f t="shared" si="8"/>
        <v>1272</v>
      </c>
      <c r="M59" s="38">
        <v>0</v>
      </c>
      <c r="N59" s="39"/>
      <c r="O59" s="32">
        <f t="shared" si="9"/>
        <v>0</v>
      </c>
      <c r="P59" s="32">
        <f t="shared" si="10"/>
        <v>4129</v>
      </c>
      <c r="Q59" s="29"/>
      <c r="R59" s="29"/>
      <c r="IP59" s="24"/>
      <c r="IQ59" s="24"/>
      <c r="IR59" s="24"/>
      <c r="IS59" s="24"/>
      <c r="IT59" s="24"/>
    </row>
    <row r="60" spans="1:254" s="23" customFormat="1" ht="18" customHeight="1">
      <c r="A60" s="41" t="s">
        <v>36</v>
      </c>
      <c r="B60" s="50"/>
      <c r="C60" s="36">
        <f t="shared" si="11"/>
        <v>1954</v>
      </c>
      <c r="D60" s="36">
        <v>0</v>
      </c>
      <c r="E60" s="37"/>
      <c r="F60" s="32">
        <f t="shared" si="6"/>
        <v>0</v>
      </c>
      <c r="G60" s="36">
        <v>0</v>
      </c>
      <c r="H60" s="37"/>
      <c r="I60" s="32">
        <f t="shared" si="7"/>
        <v>0</v>
      </c>
      <c r="J60" s="36">
        <v>0</v>
      </c>
      <c r="K60" s="37"/>
      <c r="L60" s="32">
        <f t="shared" si="8"/>
        <v>0</v>
      </c>
      <c r="M60" s="38">
        <v>1954</v>
      </c>
      <c r="N60" s="39"/>
      <c r="O60" s="32">
        <f t="shared" si="9"/>
        <v>1954</v>
      </c>
      <c r="P60" s="32">
        <f t="shared" si="10"/>
        <v>1954</v>
      </c>
      <c r="Q60" s="29"/>
      <c r="R60" s="29"/>
      <c r="IP60" s="24"/>
      <c r="IQ60" s="24"/>
      <c r="IR60" s="24"/>
      <c r="IS60" s="24"/>
      <c r="IT60" s="24"/>
    </row>
    <row r="61" spans="1:254" s="23" customFormat="1" ht="18" customHeight="1" hidden="1">
      <c r="A61" s="41"/>
      <c r="B61" s="25"/>
      <c r="C61" s="36">
        <f t="shared" si="11"/>
        <v>0</v>
      </c>
      <c r="D61" s="36"/>
      <c r="E61" s="37"/>
      <c r="F61" s="32">
        <f t="shared" si="6"/>
        <v>0</v>
      </c>
      <c r="G61" s="36"/>
      <c r="H61" s="37"/>
      <c r="I61" s="32">
        <f t="shared" si="7"/>
        <v>0</v>
      </c>
      <c r="J61" s="36"/>
      <c r="K61" s="37"/>
      <c r="L61" s="32">
        <f t="shared" si="8"/>
        <v>0</v>
      </c>
      <c r="M61" s="38"/>
      <c r="N61" s="39"/>
      <c r="O61" s="32">
        <f t="shared" si="9"/>
        <v>0</v>
      </c>
      <c r="P61" s="32">
        <f t="shared" si="10"/>
        <v>0</v>
      </c>
      <c r="Q61" s="29"/>
      <c r="R61" s="29"/>
      <c r="IP61" s="24"/>
      <c r="IQ61" s="24"/>
      <c r="IR61" s="24"/>
      <c r="IS61" s="24"/>
      <c r="IT61" s="24"/>
    </row>
    <row r="62" spans="1:254" s="23" customFormat="1" ht="18" customHeight="1" hidden="1">
      <c r="A62" s="42"/>
      <c r="B62" s="25"/>
      <c r="C62" s="36">
        <f t="shared" si="11"/>
        <v>6812.24</v>
      </c>
      <c r="D62" s="32">
        <f>D63+D64+D65+D66</f>
        <v>1612.24</v>
      </c>
      <c r="E62" s="33">
        <f>E63+E64+E65+E66</f>
        <v>0</v>
      </c>
      <c r="F62" s="32">
        <f t="shared" si="6"/>
        <v>1612.24</v>
      </c>
      <c r="G62" s="32">
        <f>G63+G64+G65+G66</f>
        <v>1750</v>
      </c>
      <c r="H62" s="33">
        <f>H63+H64+H65+H66</f>
        <v>0</v>
      </c>
      <c r="I62" s="32">
        <f t="shared" si="7"/>
        <v>1750</v>
      </c>
      <c r="J62" s="32">
        <f>J63+J64+J65+J66</f>
        <v>1496</v>
      </c>
      <c r="K62" s="33">
        <f>K63+K64+K65+K66</f>
        <v>0</v>
      </c>
      <c r="L62" s="32">
        <f t="shared" si="8"/>
        <v>1496</v>
      </c>
      <c r="M62" s="32">
        <f>M63+M64+M65+M66</f>
        <v>1954</v>
      </c>
      <c r="N62" s="33">
        <f>N63+N64+N65+N66</f>
        <v>0</v>
      </c>
      <c r="O62" s="32">
        <f t="shared" si="9"/>
        <v>1954</v>
      </c>
      <c r="P62" s="32">
        <f t="shared" si="10"/>
        <v>6812.24</v>
      </c>
      <c r="Q62" s="29"/>
      <c r="R62" s="29"/>
      <c r="IP62" s="24"/>
      <c r="IQ62" s="24"/>
      <c r="IR62" s="24"/>
      <c r="IS62" s="24"/>
      <c r="IT62" s="24"/>
    </row>
    <row r="63" spans="1:254" s="23" customFormat="1" ht="18" customHeight="1" hidden="1">
      <c r="A63" s="41" t="s">
        <v>37</v>
      </c>
      <c r="B63" s="25"/>
      <c r="C63" s="36">
        <f t="shared" si="11"/>
        <v>632</v>
      </c>
      <c r="D63" s="36">
        <v>210</v>
      </c>
      <c r="E63" s="37"/>
      <c r="F63" s="32">
        <f t="shared" si="6"/>
        <v>210</v>
      </c>
      <c r="G63" s="36">
        <v>228</v>
      </c>
      <c r="H63" s="37"/>
      <c r="I63" s="32">
        <f t="shared" si="7"/>
        <v>228</v>
      </c>
      <c r="J63" s="68">
        <v>194</v>
      </c>
      <c r="K63" s="69"/>
      <c r="L63" s="32">
        <f t="shared" si="8"/>
        <v>194</v>
      </c>
      <c r="M63" s="38">
        <v>0</v>
      </c>
      <c r="N63" s="39"/>
      <c r="O63" s="32">
        <f t="shared" si="9"/>
        <v>0</v>
      </c>
      <c r="P63" s="32">
        <f t="shared" si="10"/>
        <v>632</v>
      </c>
      <c r="Q63" s="29"/>
      <c r="R63" s="29"/>
      <c r="IP63" s="24"/>
      <c r="IQ63" s="24"/>
      <c r="IR63" s="24"/>
      <c r="IS63" s="24"/>
      <c r="IT63" s="24"/>
    </row>
    <row r="64" spans="1:254" s="23" customFormat="1" ht="18" customHeight="1" hidden="1">
      <c r="A64" s="41" t="s">
        <v>38</v>
      </c>
      <c r="B64" s="25"/>
      <c r="C64" s="36">
        <f t="shared" si="11"/>
        <v>4129</v>
      </c>
      <c r="D64" s="36">
        <v>1370</v>
      </c>
      <c r="E64" s="37"/>
      <c r="F64" s="32">
        <f t="shared" si="6"/>
        <v>1370</v>
      </c>
      <c r="G64" s="36">
        <v>1487</v>
      </c>
      <c r="H64" s="37"/>
      <c r="I64" s="32">
        <f t="shared" si="7"/>
        <v>1487</v>
      </c>
      <c r="J64" s="68">
        <v>1272</v>
      </c>
      <c r="K64" s="69"/>
      <c r="L64" s="32">
        <f t="shared" si="8"/>
        <v>1272</v>
      </c>
      <c r="M64" s="65">
        <v>0</v>
      </c>
      <c r="N64" s="66"/>
      <c r="O64" s="32">
        <f t="shared" si="9"/>
        <v>0</v>
      </c>
      <c r="P64" s="32">
        <f t="shared" si="10"/>
        <v>4129</v>
      </c>
      <c r="Q64" s="29"/>
      <c r="R64" s="29"/>
      <c r="IP64" s="24"/>
      <c r="IQ64" s="24"/>
      <c r="IR64" s="24"/>
      <c r="IS64" s="24"/>
      <c r="IT64" s="24"/>
    </row>
    <row r="65" spans="1:254" s="23" customFormat="1" ht="18" customHeight="1" hidden="1">
      <c r="A65" s="41" t="s">
        <v>39</v>
      </c>
      <c r="B65" s="25"/>
      <c r="C65" s="36">
        <f t="shared" si="11"/>
        <v>0</v>
      </c>
      <c r="D65" s="36">
        <v>0</v>
      </c>
      <c r="E65" s="37"/>
      <c r="F65" s="32">
        <f t="shared" si="6"/>
        <v>0</v>
      </c>
      <c r="G65" s="36">
        <v>0</v>
      </c>
      <c r="H65" s="37"/>
      <c r="I65" s="32">
        <f t="shared" si="7"/>
        <v>0</v>
      </c>
      <c r="J65" s="68">
        <v>0</v>
      </c>
      <c r="K65" s="69"/>
      <c r="L65" s="32">
        <f t="shared" si="8"/>
        <v>0</v>
      </c>
      <c r="M65" s="38">
        <v>0</v>
      </c>
      <c r="N65" s="39"/>
      <c r="O65" s="32">
        <f t="shared" si="9"/>
        <v>0</v>
      </c>
      <c r="P65" s="32">
        <f t="shared" si="10"/>
        <v>0</v>
      </c>
      <c r="Q65" s="29"/>
      <c r="R65" s="29"/>
      <c r="IP65" s="24"/>
      <c r="IQ65" s="24"/>
      <c r="IR65" s="24"/>
      <c r="IS65" s="24"/>
      <c r="IT65" s="24"/>
    </row>
    <row r="66" spans="1:254" s="23" customFormat="1" ht="30.75" customHeight="1" hidden="1">
      <c r="A66" s="52" t="s">
        <v>40</v>
      </c>
      <c r="B66" s="25"/>
      <c r="C66" s="36">
        <f t="shared" si="11"/>
        <v>2051.24</v>
      </c>
      <c r="D66" s="48">
        <f>(0.02*D57)+D60</f>
        <v>32.24</v>
      </c>
      <c r="E66" s="56"/>
      <c r="F66" s="32">
        <f t="shared" si="6"/>
        <v>32.24</v>
      </c>
      <c r="G66" s="36">
        <v>35</v>
      </c>
      <c r="H66" s="37"/>
      <c r="I66" s="32">
        <f t="shared" si="7"/>
        <v>35</v>
      </c>
      <c r="J66" s="70">
        <v>30</v>
      </c>
      <c r="K66" s="71"/>
      <c r="L66" s="32">
        <f t="shared" si="8"/>
        <v>30</v>
      </c>
      <c r="M66" s="38">
        <v>1954</v>
      </c>
      <c r="N66" s="39"/>
      <c r="O66" s="32">
        <f t="shared" si="9"/>
        <v>1954</v>
      </c>
      <c r="P66" s="32">
        <f t="shared" si="10"/>
        <v>2051.24</v>
      </c>
      <c r="Q66" s="29"/>
      <c r="R66" s="29"/>
      <c r="IP66" s="24"/>
      <c r="IQ66" s="24"/>
      <c r="IR66" s="24"/>
      <c r="IS66" s="24"/>
      <c r="IT66" s="24"/>
    </row>
    <row r="67" spans="1:254" s="23" customFormat="1" ht="33" customHeight="1">
      <c r="A67" s="25" t="s">
        <v>32</v>
      </c>
      <c r="B67" s="31" t="s">
        <v>44</v>
      </c>
      <c r="C67" s="32">
        <f t="shared" si="11"/>
        <v>11356</v>
      </c>
      <c r="D67" s="72">
        <f>D68+D69+D70</f>
        <v>2586</v>
      </c>
      <c r="E67" s="73"/>
      <c r="F67" s="32">
        <f t="shared" si="6"/>
        <v>2586</v>
      </c>
      <c r="G67" s="72">
        <f>G68+G69+G70</f>
        <v>3500</v>
      </c>
      <c r="H67" s="73"/>
      <c r="I67" s="32">
        <f t="shared" si="7"/>
        <v>3500</v>
      </c>
      <c r="J67" s="72">
        <f>J68+J69+J70</f>
        <v>1590</v>
      </c>
      <c r="K67" s="73"/>
      <c r="L67" s="32">
        <f t="shared" si="8"/>
        <v>1590</v>
      </c>
      <c r="M67" s="72">
        <f>M68+M69+M70</f>
        <v>3680</v>
      </c>
      <c r="N67" s="73"/>
      <c r="O67" s="32">
        <f t="shared" si="9"/>
        <v>3680</v>
      </c>
      <c r="P67" s="32">
        <f t="shared" si="10"/>
        <v>11356</v>
      </c>
      <c r="Q67" s="29"/>
      <c r="R67" s="29"/>
      <c r="IP67" s="24"/>
      <c r="IQ67" s="24"/>
      <c r="IR67" s="24"/>
      <c r="IS67" s="24"/>
      <c r="IT67" s="24"/>
    </row>
    <row r="68" spans="1:254" s="23" customFormat="1" ht="16.5" customHeight="1">
      <c r="A68" s="46" t="s">
        <v>34</v>
      </c>
      <c r="B68" s="47"/>
      <c r="C68" s="36">
        <f t="shared" si="11"/>
        <v>1150</v>
      </c>
      <c r="D68" s="36">
        <v>387</v>
      </c>
      <c r="E68" s="37"/>
      <c r="F68" s="32">
        <f t="shared" si="6"/>
        <v>387</v>
      </c>
      <c r="G68" s="36">
        <v>525</v>
      </c>
      <c r="H68" s="37"/>
      <c r="I68" s="32">
        <f t="shared" si="7"/>
        <v>525</v>
      </c>
      <c r="J68" s="36">
        <v>238</v>
      </c>
      <c r="K68" s="37"/>
      <c r="L68" s="32">
        <f t="shared" si="8"/>
        <v>238</v>
      </c>
      <c r="M68" s="38">
        <v>0</v>
      </c>
      <c r="N68" s="39"/>
      <c r="O68" s="32">
        <f t="shared" si="9"/>
        <v>0</v>
      </c>
      <c r="P68" s="32">
        <f t="shared" si="10"/>
        <v>1150</v>
      </c>
      <c r="Q68" s="29"/>
      <c r="R68" s="29"/>
      <c r="IP68" s="24"/>
      <c r="IQ68" s="24"/>
      <c r="IR68" s="24"/>
      <c r="IS68" s="24"/>
      <c r="IT68" s="24"/>
    </row>
    <row r="69" spans="1:254" s="23" customFormat="1" ht="18" customHeight="1">
      <c r="A69" s="41" t="s">
        <v>35</v>
      </c>
      <c r="B69" s="49"/>
      <c r="C69" s="36">
        <f t="shared" si="11"/>
        <v>6526</v>
      </c>
      <c r="D69" s="36">
        <v>2199</v>
      </c>
      <c r="E69" s="37"/>
      <c r="F69" s="32">
        <f t="shared" si="6"/>
        <v>2199</v>
      </c>
      <c r="G69" s="36">
        <v>2975</v>
      </c>
      <c r="H69" s="37"/>
      <c r="I69" s="32">
        <f t="shared" si="7"/>
        <v>2975</v>
      </c>
      <c r="J69" s="36">
        <v>1352</v>
      </c>
      <c r="K69" s="37"/>
      <c r="L69" s="32">
        <f t="shared" si="8"/>
        <v>1352</v>
      </c>
      <c r="M69" s="38">
        <v>0</v>
      </c>
      <c r="N69" s="39"/>
      <c r="O69" s="32">
        <f t="shared" si="9"/>
        <v>0</v>
      </c>
      <c r="P69" s="32">
        <f t="shared" si="10"/>
        <v>6526</v>
      </c>
      <c r="Q69" s="29"/>
      <c r="R69" s="29"/>
      <c r="IP69" s="24"/>
      <c r="IQ69" s="24"/>
      <c r="IR69" s="24"/>
      <c r="IS69" s="24"/>
      <c r="IT69" s="24"/>
    </row>
    <row r="70" spans="1:254" s="23" customFormat="1" ht="17.25" customHeight="1">
      <c r="A70" s="41" t="s">
        <v>36</v>
      </c>
      <c r="B70" s="50"/>
      <c r="C70" s="36">
        <f t="shared" si="11"/>
        <v>3680</v>
      </c>
      <c r="D70" s="36">
        <v>0</v>
      </c>
      <c r="E70" s="37"/>
      <c r="F70" s="32">
        <f t="shared" si="6"/>
        <v>0</v>
      </c>
      <c r="G70" s="36">
        <v>0</v>
      </c>
      <c r="H70" s="37"/>
      <c r="I70" s="32">
        <f t="shared" si="7"/>
        <v>0</v>
      </c>
      <c r="J70" s="36">
        <v>0</v>
      </c>
      <c r="K70" s="37"/>
      <c r="L70" s="32">
        <f t="shared" si="8"/>
        <v>0</v>
      </c>
      <c r="M70" s="38">
        <v>3680</v>
      </c>
      <c r="N70" s="39"/>
      <c r="O70" s="32">
        <f t="shared" si="9"/>
        <v>3680</v>
      </c>
      <c r="P70" s="32">
        <f t="shared" si="10"/>
        <v>3680</v>
      </c>
      <c r="Q70" s="29"/>
      <c r="R70" s="29"/>
      <c r="IP70" s="24"/>
      <c r="IQ70" s="24"/>
      <c r="IR70" s="24"/>
      <c r="IS70" s="24"/>
      <c r="IT70" s="24"/>
    </row>
    <row r="71" spans="1:254" s="23" customFormat="1" ht="18" customHeight="1" hidden="1">
      <c r="A71" s="41"/>
      <c r="B71" s="25"/>
      <c r="C71" s="36">
        <f t="shared" si="11"/>
        <v>0</v>
      </c>
      <c r="D71" s="36"/>
      <c r="E71" s="37"/>
      <c r="F71" s="32">
        <f t="shared" si="6"/>
        <v>0</v>
      </c>
      <c r="G71" s="36"/>
      <c r="H71" s="37"/>
      <c r="I71" s="32">
        <f t="shared" si="7"/>
        <v>0</v>
      </c>
      <c r="J71" s="36"/>
      <c r="K71" s="37"/>
      <c r="L71" s="32">
        <f t="shared" si="8"/>
        <v>0</v>
      </c>
      <c r="M71" s="38"/>
      <c r="N71" s="39"/>
      <c r="O71" s="32">
        <f t="shared" si="9"/>
        <v>0</v>
      </c>
      <c r="P71" s="32">
        <f t="shared" si="10"/>
        <v>0</v>
      </c>
      <c r="Q71" s="29"/>
      <c r="R71" s="29"/>
      <c r="IP71" s="24"/>
      <c r="IQ71" s="24"/>
      <c r="IR71" s="24"/>
      <c r="IS71" s="24"/>
      <c r="IT71" s="24"/>
    </row>
    <row r="72" spans="1:254" s="23" customFormat="1" ht="18" customHeight="1" hidden="1">
      <c r="A72" s="42"/>
      <c r="B72" s="25"/>
      <c r="C72" s="36">
        <f t="shared" si="11"/>
        <v>11356</v>
      </c>
      <c r="D72" s="32">
        <f>D73+D74+D75+D76</f>
        <v>2586</v>
      </c>
      <c r="E72" s="33">
        <f>E73+E74+E75+E76</f>
        <v>0</v>
      </c>
      <c r="F72" s="32">
        <f t="shared" si="6"/>
        <v>2586</v>
      </c>
      <c r="G72" s="32">
        <f>G73+G74+G75+G76</f>
        <v>3500</v>
      </c>
      <c r="H72" s="33">
        <f>H73+H74+H75+H76</f>
        <v>0</v>
      </c>
      <c r="I72" s="32">
        <f t="shared" si="7"/>
        <v>3500</v>
      </c>
      <c r="J72" s="32">
        <f>J73+J74+J75+J76</f>
        <v>1590</v>
      </c>
      <c r="K72" s="33">
        <f>K73+K74+K75+K76</f>
        <v>0</v>
      </c>
      <c r="L72" s="32">
        <f t="shared" si="8"/>
        <v>1590</v>
      </c>
      <c r="M72" s="32">
        <f>M73+M74+M75+M76</f>
        <v>3680</v>
      </c>
      <c r="N72" s="33">
        <f>N73+N74+N75+N76</f>
        <v>0</v>
      </c>
      <c r="O72" s="32">
        <f t="shared" si="9"/>
        <v>3680</v>
      </c>
      <c r="P72" s="32">
        <f t="shared" si="10"/>
        <v>11356</v>
      </c>
      <c r="Q72" s="29"/>
      <c r="R72" s="29"/>
      <c r="IP72" s="24"/>
      <c r="IQ72" s="24"/>
      <c r="IR72" s="24"/>
      <c r="IS72" s="24"/>
      <c r="IT72" s="24"/>
    </row>
    <row r="73" spans="1:254" s="23" customFormat="1" ht="18" customHeight="1" hidden="1">
      <c r="A73" s="41" t="s">
        <v>37</v>
      </c>
      <c r="B73" s="25"/>
      <c r="C73" s="36">
        <f t="shared" si="11"/>
        <v>997</v>
      </c>
      <c r="D73" s="36">
        <v>335</v>
      </c>
      <c r="E73" s="37"/>
      <c r="F73" s="32">
        <f t="shared" si="6"/>
        <v>335</v>
      </c>
      <c r="G73" s="36">
        <v>455</v>
      </c>
      <c r="H73" s="37"/>
      <c r="I73" s="32">
        <f t="shared" si="7"/>
        <v>455</v>
      </c>
      <c r="J73" s="36">
        <v>207</v>
      </c>
      <c r="K73" s="37"/>
      <c r="L73" s="32">
        <f t="shared" si="8"/>
        <v>207</v>
      </c>
      <c r="M73" s="38">
        <v>0</v>
      </c>
      <c r="N73" s="39"/>
      <c r="O73" s="32">
        <f t="shared" si="9"/>
        <v>0</v>
      </c>
      <c r="P73" s="32">
        <f t="shared" si="10"/>
        <v>997</v>
      </c>
      <c r="Q73" s="29"/>
      <c r="R73" s="29"/>
      <c r="IP73" s="24"/>
      <c r="IQ73" s="24"/>
      <c r="IR73" s="24"/>
      <c r="IS73" s="24"/>
      <c r="IT73" s="24"/>
    </row>
    <row r="74" spans="1:254" s="23" customFormat="1" ht="18" customHeight="1" hidden="1">
      <c r="A74" s="41" t="s">
        <v>38</v>
      </c>
      <c r="B74" s="25"/>
      <c r="C74" s="36">
        <f t="shared" si="11"/>
        <v>6526</v>
      </c>
      <c r="D74" s="36">
        <v>2199</v>
      </c>
      <c r="E74" s="37"/>
      <c r="F74" s="32">
        <f t="shared" si="6"/>
        <v>2199</v>
      </c>
      <c r="G74" s="36">
        <v>2975</v>
      </c>
      <c r="H74" s="37"/>
      <c r="I74" s="32">
        <f t="shared" si="7"/>
        <v>2975</v>
      </c>
      <c r="J74" s="36">
        <v>1352</v>
      </c>
      <c r="K74" s="37"/>
      <c r="L74" s="32">
        <f t="shared" si="8"/>
        <v>1352</v>
      </c>
      <c r="M74" s="38">
        <v>0</v>
      </c>
      <c r="N74" s="39"/>
      <c r="O74" s="32">
        <f t="shared" si="9"/>
        <v>0</v>
      </c>
      <c r="P74" s="32">
        <f t="shared" si="10"/>
        <v>6526</v>
      </c>
      <c r="Q74" s="29"/>
      <c r="R74" s="29"/>
      <c r="IP74" s="24"/>
      <c r="IQ74" s="24"/>
      <c r="IR74" s="24"/>
      <c r="IS74" s="24"/>
      <c r="IT74" s="24"/>
    </row>
    <row r="75" spans="1:254" s="23" customFormat="1" ht="18" customHeight="1" hidden="1">
      <c r="A75" s="41" t="s">
        <v>39</v>
      </c>
      <c r="B75" s="25"/>
      <c r="C75" s="36">
        <f t="shared" si="11"/>
        <v>0</v>
      </c>
      <c r="D75" s="36">
        <v>0</v>
      </c>
      <c r="E75" s="37"/>
      <c r="F75" s="32">
        <f t="shared" si="6"/>
        <v>0</v>
      </c>
      <c r="G75" s="36">
        <v>0</v>
      </c>
      <c r="H75" s="37"/>
      <c r="I75" s="32">
        <f t="shared" si="7"/>
        <v>0</v>
      </c>
      <c r="J75" s="36">
        <v>0</v>
      </c>
      <c r="K75" s="37"/>
      <c r="L75" s="32">
        <f t="shared" si="8"/>
        <v>0</v>
      </c>
      <c r="M75" s="38">
        <v>0</v>
      </c>
      <c r="N75" s="39"/>
      <c r="O75" s="32">
        <f t="shared" si="9"/>
        <v>0</v>
      </c>
      <c r="P75" s="32">
        <f t="shared" si="10"/>
        <v>0</v>
      </c>
      <c r="Q75" s="29"/>
      <c r="R75" s="29"/>
      <c r="IP75" s="24"/>
      <c r="IQ75" s="24"/>
      <c r="IR75" s="24"/>
      <c r="IS75" s="24"/>
      <c r="IT75" s="24"/>
    </row>
    <row r="76" spans="1:254" s="23" customFormat="1" ht="30" customHeight="1" hidden="1">
      <c r="A76" s="52" t="s">
        <v>40</v>
      </c>
      <c r="B76" s="25"/>
      <c r="C76" s="36">
        <f t="shared" si="11"/>
        <v>3833</v>
      </c>
      <c r="D76" s="36">
        <v>52</v>
      </c>
      <c r="E76" s="37"/>
      <c r="F76" s="32">
        <f t="shared" si="6"/>
        <v>52</v>
      </c>
      <c r="G76" s="36">
        <v>70</v>
      </c>
      <c r="H76" s="37"/>
      <c r="I76" s="32">
        <f t="shared" si="7"/>
        <v>70</v>
      </c>
      <c r="J76" s="36">
        <v>31</v>
      </c>
      <c r="K76" s="37"/>
      <c r="L76" s="32">
        <f t="shared" si="8"/>
        <v>31</v>
      </c>
      <c r="M76" s="38">
        <v>3680</v>
      </c>
      <c r="N76" s="39"/>
      <c r="O76" s="32">
        <f t="shared" si="9"/>
        <v>3680</v>
      </c>
      <c r="P76" s="32">
        <f t="shared" si="10"/>
        <v>3833</v>
      </c>
      <c r="Q76" s="29"/>
      <c r="R76" s="29"/>
      <c r="IP76" s="24"/>
      <c r="IQ76" s="24"/>
      <c r="IR76" s="24"/>
      <c r="IS76" s="24"/>
      <c r="IT76" s="24"/>
    </row>
    <row r="77" spans="1:254" s="23" customFormat="1" ht="34.5" customHeight="1">
      <c r="A77" s="25" t="s">
        <v>32</v>
      </c>
      <c r="B77" s="31" t="s">
        <v>45</v>
      </c>
      <c r="C77" s="32">
        <f t="shared" si="11"/>
        <v>6378</v>
      </c>
      <c r="D77" s="72">
        <f>D78+D79+D80</f>
        <v>1530</v>
      </c>
      <c r="E77" s="73"/>
      <c r="F77" s="32">
        <f t="shared" si="6"/>
        <v>1530</v>
      </c>
      <c r="G77" s="72">
        <f>G78+G79+G80</f>
        <v>1450</v>
      </c>
      <c r="H77" s="73"/>
      <c r="I77" s="32">
        <f t="shared" si="7"/>
        <v>1450</v>
      </c>
      <c r="J77" s="72">
        <f>J78+J79+J80</f>
        <v>1413</v>
      </c>
      <c r="K77" s="73"/>
      <c r="L77" s="32">
        <f t="shared" si="8"/>
        <v>1413</v>
      </c>
      <c r="M77" s="74">
        <f>M78+M79+M80</f>
        <v>1985</v>
      </c>
      <c r="N77" s="75"/>
      <c r="O77" s="32">
        <f t="shared" si="9"/>
        <v>1985</v>
      </c>
      <c r="P77" s="32">
        <f t="shared" si="10"/>
        <v>6378</v>
      </c>
      <c r="Q77" s="29"/>
      <c r="R77" s="29"/>
      <c r="IP77" s="24"/>
      <c r="IQ77" s="24"/>
      <c r="IR77" s="24"/>
      <c r="IS77" s="24"/>
      <c r="IT77" s="24"/>
    </row>
    <row r="78" spans="1:254" s="23" customFormat="1" ht="16.5" customHeight="1">
      <c r="A78" s="46" t="s">
        <v>34</v>
      </c>
      <c r="B78" s="47"/>
      <c r="C78" s="36">
        <f t="shared" si="11"/>
        <v>659</v>
      </c>
      <c r="D78" s="36">
        <v>229</v>
      </c>
      <c r="E78" s="37"/>
      <c r="F78" s="32">
        <f t="shared" si="6"/>
        <v>229</v>
      </c>
      <c r="G78" s="36">
        <v>218</v>
      </c>
      <c r="H78" s="37"/>
      <c r="I78" s="32">
        <f t="shared" si="7"/>
        <v>218</v>
      </c>
      <c r="J78" s="36">
        <v>212</v>
      </c>
      <c r="K78" s="37"/>
      <c r="L78" s="32">
        <f t="shared" si="8"/>
        <v>212</v>
      </c>
      <c r="M78" s="38">
        <v>0</v>
      </c>
      <c r="N78" s="39"/>
      <c r="O78" s="32">
        <f t="shared" si="9"/>
        <v>0</v>
      </c>
      <c r="P78" s="32">
        <f t="shared" si="10"/>
        <v>659</v>
      </c>
      <c r="Q78" s="29"/>
      <c r="R78" s="29"/>
      <c r="IP78" s="24"/>
      <c r="IQ78" s="24"/>
      <c r="IR78" s="24"/>
      <c r="IS78" s="24"/>
      <c r="IT78" s="24"/>
    </row>
    <row r="79" spans="1:254" s="23" customFormat="1" ht="18" customHeight="1">
      <c r="A79" s="41" t="s">
        <v>35</v>
      </c>
      <c r="B79" s="49"/>
      <c r="C79" s="36">
        <f t="shared" si="11"/>
        <v>3734</v>
      </c>
      <c r="D79" s="36">
        <v>1301</v>
      </c>
      <c r="E79" s="37"/>
      <c r="F79" s="32">
        <f t="shared" si="6"/>
        <v>1301</v>
      </c>
      <c r="G79" s="36">
        <v>1232</v>
      </c>
      <c r="H79" s="37"/>
      <c r="I79" s="32">
        <f t="shared" si="7"/>
        <v>1232</v>
      </c>
      <c r="J79" s="36">
        <v>1201</v>
      </c>
      <c r="K79" s="37"/>
      <c r="L79" s="32">
        <f t="shared" si="8"/>
        <v>1201</v>
      </c>
      <c r="M79" s="38">
        <v>0</v>
      </c>
      <c r="N79" s="39"/>
      <c r="O79" s="32">
        <f t="shared" si="9"/>
        <v>0</v>
      </c>
      <c r="P79" s="32">
        <f t="shared" si="10"/>
        <v>3734</v>
      </c>
      <c r="Q79" s="29"/>
      <c r="R79" s="29"/>
      <c r="IP79" s="24"/>
      <c r="IQ79" s="24"/>
      <c r="IR79" s="24"/>
      <c r="IS79" s="24"/>
      <c r="IT79" s="24"/>
    </row>
    <row r="80" spans="1:254" s="23" customFormat="1" ht="16.5" customHeight="1">
      <c r="A80" s="41" t="s">
        <v>36</v>
      </c>
      <c r="B80" s="50"/>
      <c r="C80" s="36">
        <f t="shared" si="11"/>
        <v>1985</v>
      </c>
      <c r="D80" s="36">
        <v>0</v>
      </c>
      <c r="E80" s="37"/>
      <c r="F80" s="32">
        <f t="shared" si="6"/>
        <v>0</v>
      </c>
      <c r="G80" s="36">
        <v>0</v>
      </c>
      <c r="H80" s="37"/>
      <c r="I80" s="32">
        <f t="shared" si="7"/>
        <v>0</v>
      </c>
      <c r="J80" s="36">
        <v>0</v>
      </c>
      <c r="K80" s="37"/>
      <c r="L80" s="32">
        <f t="shared" si="8"/>
        <v>0</v>
      </c>
      <c r="M80" s="38">
        <v>1985</v>
      </c>
      <c r="N80" s="39"/>
      <c r="O80" s="32">
        <f t="shared" si="9"/>
        <v>1985</v>
      </c>
      <c r="P80" s="32">
        <f t="shared" si="10"/>
        <v>1985</v>
      </c>
      <c r="Q80" s="29"/>
      <c r="R80" s="29"/>
      <c r="IP80" s="24"/>
      <c r="IQ80" s="24"/>
      <c r="IR80" s="24"/>
      <c r="IS80" s="24"/>
      <c r="IT80" s="24"/>
    </row>
    <row r="81" spans="1:254" s="23" customFormat="1" ht="18" customHeight="1" hidden="1">
      <c r="A81" s="41"/>
      <c r="B81" s="25"/>
      <c r="C81" s="36">
        <f t="shared" si="11"/>
        <v>0</v>
      </c>
      <c r="D81" s="36"/>
      <c r="E81" s="37"/>
      <c r="F81" s="32">
        <f t="shared" si="6"/>
        <v>0</v>
      </c>
      <c r="G81" s="36"/>
      <c r="H81" s="37"/>
      <c r="I81" s="32">
        <f t="shared" si="7"/>
        <v>0</v>
      </c>
      <c r="J81" s="36"/>
      <c r="K81" s="37"/>
      <c r="L81" s="32">
        <f t="shared" si="8"/>
        <v>0</v>
      </c>
      <c r="M81" s="38"/>
      <c r="N81" s="39"/>
      <c r="O81" s="32">
        <f t="shared" si="9"/>
        <v>0</v>
      </c>
      <c r="P81" s="32">
        <f t="shared" si="10"/>
        <v>0</v>
      </c>
      <c r="Q81" s="29"/>
      <c r="R81" s="29"/>
      <c r="IP81" s="24"/>
      <c r="IQ81" s="24"/>
      <c r="IR81" s="24"/>
      <c r="IS81" s="24"/>
      <c r="IT81" s="24"/>
    </row>
    <row r="82" spans="1:254" s="23" customFormat="1" ht="18" customHeight="1" hidden="1">
      <c r="A82" s="42"/>
      <c r="B82" s="25"/>
      <c r="C82" s="36">
        <f t="shared" si="11"/>
        <v>6378</v>
      </c>
      <c r="D82" s="32">
        <f>D83+D84+D85+D86</f>
        <v>1530</v>
      </c>
      <c r="E82" s="33"/>
      <c r="F82" s="32">
        <f t="shared" si="6"/>
        <v>1530</v>
      </c>
      <c r="G82" s="32">
        <f>G83+G84+G85+G86</f>
        <v>1450</v>
      </c>
      <c r="H82" s="33"/>
      <c r="I82" s="32">
        <f t="shared" si="7"/>
        <v>1450</v>
      </c>
      <c r="J82" s="32">
        <f>J83+J84+J85+J86</f>
        <v>1413</v>
      </c>
      <c r="K82" s="33"/>
      <c r="L82" s="32">
        <f t="shared" si="8"/>
        <v>1413</v>
      </c>
      <c r="M82" s="76">
        <f>M83+M84+M85+M86</f>
        <v>1985</v>
      </c>
      <c r="N82" s="77"/>
      <c r="O82" s="32">
        <f t="shared" si="9"/>
        <v>1985</v>
      </c>
      <c r="P82" s="32">
        <f t="shared" si="10"/>
        <v>6378</v>
      </c>
      <c r="Q82" s="29"/>
      <c r="R82" s="29"/>
      <c r="IP82" s="24"/>
      <c r="IQ82" s="24"/>
      <c r="IR82" s="24"/>
      <c r="IS82" s="24"/>
      <c r="IT82" s="24"/>
    </row>
    <row r="83" spans="1:254" s="23" customFormat="1" ht="18" customHeight="1" hidden="1">
      <c r="A83" s="41" t="s">
        <v>37</v>
      </c>
      <c r="B83" s="25"/>
      <c r="C83" s="36">
        <f t="shared" si="11"/>
        <v>571</v>
      </c>
      <c r="D83" s="36">
        <v>199</v>
      </c>
      <c r="E83" s="37"/>
      <c r="F83" s="32">
        <f t="shared" si="6"/>
        <v>199</v>
      </c>
      <c r="G83" s="36">
        <v>188</v>
      </c>
      <c r="H83" s="37"/>
      <c r="I83" s="32">
        <f t="shared" si="7"/>
        <v>188</v>
      </c>
      <c r="J83" s="36">
        <v>184</v>
      </c>
      <c r="K83" s="37"/>
      <c r="L83" s="32">
        <f t="shared" si="8"/>
        <v>184</v>
      </c>
      <c r="M83" s="38">
        <v>0</v>
      </c>
      <c r="N83" s="39"/>
      <c r="O83" s="32">
        <f t="shared" si="9"/>
        <v>0</v>
      </c>
      <c r="P83" s="32">
        <f t="shared" si="10"/>
        <v>571</v>
      </c>
      <c r="Q83" s="29"/>
      <c r="R83" s="29"/>
      <c r="IP83" s="24"/>
      <c r="IQ83" s="24"/>
      <c r="IR83" s="24"/>
      <c r="IS83" s="24"/>
      <c r="IT83" s="24"/>
    </row>
    <row r="84" spans="1:254" s="23" customFormat="1" ht="18" customHeight="1" hidden="1">
      <c r="A84" s="41" t="s">
        <v>38</v>
      </c>
      <c r="B84" s="25"/>
      <c r="C84" s="36">
        <f t="shared" si="11"/>
        <v>3734</v>
      </c>
      <c r="D84" s="36">
        <v>1301</v>
      </c>
      <c r="E84" s="37"/>
      <c r="F84" s="32">
        <f t="shared" si="6"/>
        <v>1301</v>
      </c>
      <c r="G84" s="36">
        <v>1232</v>
      </c>
      <c r="H84" s="37"/>
      <c r="I84" s="32">
        <f t="shared" si="7"/>
        <v>1232</v>
      </c>
      <c r="J84" s="36">
        <v>1201</v>
      </c>
      <c r="K84" s="37"/>
      <c r="L84" s="32">
        <f t="shared" si="8"/>
        <v>1201</v>
      </c>
      <c r="M84" s="38">
        <v>0</v>
      </c>
      <c r="N84" s="39"/>
      <c r="O84" s="32">
        <f t="shared" si="9"/>
        <v>0</v>
      </c>
      <c r="P84" s="32">
        <f t="shared" si="10"/>
        <v>3734</v>
      </c>
      <c r="Q84" s="29"/>
      <c r="R84" s="29"/>
      <c r="IP84" s="24"/>
      <c r="IQ84" s="24"/>
      <c r="IR84" s="24"/>
      <c r="IS84" s="24"/>
      <c r="IT84" s="24"/>
    </row>
    <row r="85" spans="1:254" s="23" customFormat="1" ht="18" customHeight="1" hidden="1">
      <c r="A85" s="41" t="s">
        <v>39</v>
      </c>
      <c r="B85" s="25"/>
      <c r="C85" s="36">
        <f t="shared" si="11"/>
        <v>0</v>
      </c>
      <c r="D85" s="36">
        <v>0</v>
      </c>
      <c r="E85" s="37"/>
      <c r="F85" s="32">
        <f aca="true" t="shared" si="12" ref="F85:F116">D85+E85</f>
        <v>0</v>
      </c>
      <c r="G85" s="36">
        <v>0</v>
      </c>
      <c r="H85" s="37"/>
      <c r="I85" s="32">
        <f aca="true" t="shared" si="13" ref="I85:I116">G85+H85</f>
        <v>0</v>
      </c>
      <c r="J85" s="36">
        <v>0</v>
      </c>
      <c r="K85" s="37"/>
      <c r="L85" s="32">
        <f aca="true" t="shared" si="14" ref="L85:L116">J85+K85</f>
        <v>0</v>
      </c>
      <c r="M85" s="38">
        <v>0</v>
      </c>
      <c r="N85" s="39"/>
      <c r="O85" s="32">
        <f aca="true" t="shared" si="15" ref="O85:O116">M85+N85</f>
        <v>0</v>
      </c>
      <c r="P85" s="32">
        <f aca="true" t="shared" si="16" ref="P85:P116">F85+I85+L85+O85</f>
        <v>0</v>
      </c>
      <c r="Q85" s="29"/>
      <c r="R85" s="29"/>
      <c r="IP85" s="24"/>
      <c r="IQ85" s="24"/>
      <c r="IR85" s="24"/>
      <c r="IS85" s="24"/>
      <c r="IT85" s="24"/>
    </row>
    <row r="86" spans="1:254" s="23" customFormat="1" ht="30" hidden="1">
      <c r="A86" s="52" t="s">
        <v>40</v>
      </c>
      <c r="B86" s="25"/>
      <c r="C86" s="36">
        <f t="shared" si="11"/>
        <v>2073</v>
      </c>
      <c r="D86" s="36">
        <f>D78-D83</f>
        <v>30</v>
      </c>
      <c r="E86" s="37"/>
      <c r="F86" s="32">
        <f t="shared" si="12"/>
        <v>30</v>
      </c>
      <c r="G86" s="36">
        <f>G78-G83</f>
        <v>30</v>
      </c>
      <c r="H86" s="37"/>
      <c r="I86" s="32">
        <f t="shared" si="13"/>
        <v>30</v>
      </c>
      <c r="J86" s="36">
        <f>J78-J83</f>
        <v>28</v>
      </c>
      <c r="K86" s="37"/>
      <c r="L86" s="32">
        <f t="shared" si="14"/>
        <v>28</v>
      </c>
      <c r="M86" s="38">
        <v>1985</v>
      </c>
      <c r="N86" s="39"/>
      <c r="O86" s="32">
        <f t="shared" si="15"/>
        <v>1985</v>
      </c>
      <c r="P86" s="32">
        <f t="shared" si="16"/>
        <v>2073</v>
      </c>
      <c r="Q86" s="29"/>
      <c r="R86" s="29"/>
      <c r="IP86" s="24"/>
      <c r="IQ86" s="24"/>
      <c r="IR86" s="24"/>
      <c r="IS86" s="24"/>
      <c r="IT86" s="24"/>
    </row>
    <row r="87" spans="1:254" s="23" customFormat="1" ht="33" customHeight="1">
      <c r="A87" s="25" t="s">
        <v>32</v>
      </c>
      <c r="B87" s="31" t="s">
        <v>46</v>
      </c>
      <c r="C87" s="32">
        <f>C88+C89+C90</f>
        <v>6413</v>
      </c>
      <c r="D87" s="72">
        <f>D88+D89++D90</f>
        <v>1700</v>
      </c>
      <c r="E87" s="73"/>
      <c r="F87" s="32">
        <f t="shared" si="12"/>
        <v>1700</v>
      </c>
      <c r="G87" s="72">
        <f>G88+G89++G90</f>
        <v>2120</v>
      </c>
      <c r="H87" s="73"/>
      <c r="I87" s="32">
        <f t="shared" si="13"/>
        <v>2120</v>
      </c>
      <c r="J87" s="72">
        <f>J88+J89++J90</f>
        <v>2593</v>
      </c>
      <c r="K87" s="73"/>
      <c r="L87" s="32">
        <f t="shared" si="14"/>
        <v>2593</v>
      </c>
      <c r="M87" s="72">
        <f>M88+M89++M90</f>
        <v>0</v>
      </c>
      <c r="N87" s="73"/>
      <c r="O87" s="32">
        <f t="shared" si="15"/>
        <v>0</v>
      </c>
      <c r="P87" s="32">
        <f t="shared" si="16"/>
        <v>6413</v>
      </c>
      <c r="Q87" s="29"/>
      <c r="R87" s="29"/>
      <c r="IP87" s="24"/>
      <c r="IQ87" s="24"/>
      <c r="IR87" s="24"/>
      <c r="IS87" s="24"/>
      <c r="IT87" s="24"/>
    </row>
    <row r="88" spans="1:254" s="23" customFormat="1" ht="18" customHeight="1">
      <c r="A88" s="46" t="s">
        <v>34</v>
      </c>
      <c r="B88" s="47"/>
      <c r="C88" s="36">
        <f>D88+G88+J88+M88</f>
        <v>572</v>
      </c>
      <c r="D88" s="36">
        <v>255</v>
      </c>
      <c r="E88" s="37"/>
      <c r="F88" s="32">
        <f t="shared" si="12"/>
        <v>255</v>
      </c>
      <c r="G88" s="36">
        <v>317</v>
      </c>
      <c r="H88" s="37"/>
      <c r="I88" s="32">
        <f t="shared" si="13"/>
        <v>317</v>
      </c>
      <c r="J88" s="36">
        <v>0</v>
      </c>
      <c r="K88" s="37"/>
      <c r="L88" s="32">
        <f t="shared" si="14"/>
        <v>0</v>
      </c>
      <c r="M88" s="38">
        <v>0</v>
      </c>
      <c r="N88" s="39"/>
      <c r="O88" s="32">
        <f t="shared" si="15"/>
        <v>0</v>
      </c>
      <c r="P88" s="32">
        <f t="shared" si="16"/>
        <v>572</v>
      </c>
      <c r="Q88" s="29"/>
      <c r="R88" s="29"/>
      <c r="IP88" s="24"/>
      <c r="IQ88" s="24"/>
      <c r="IR88" s="24"/>
      <c r="IS88" s="24"/>
      <c r="IT88" s="24"/>
    </row>
    <row r="89" spans="1:254" s="23" customFormat="1" ht="15.75" customHeight="1">
      <c r="A89" s="41" t="s">
        <v>35</v>
      </c>
      <c r="B89" s="49"/>
      <c r="C89" s="36">
        <f>D89+G89+J89+M89</f>
        <v>3248</v>
      </c>
      <c r="D89" s="36">
        <v>1445</v>
      </c>
      <c r="E89" s="37"/>
      <c r="F89" s="32">
        <f t="shared" si="12"/>
        <v>1445</v>
      </c>
      <c r="G89" s="36">
        <v>1803</v>
      </c>
      <c r="H89" s="37"/>
      <c r="I89" s="32">
        <f t="shared" si="13"/>
        <v>1803</v>
      </c>
      <c r="J89" s="36">
        <v>0</v>
      </c>
      <c r="K89" s="37"/>
      <c r="L89" s="32">
        <f t="shared" si="14"/>
        <v>0</v>
      </c>
      <c r="M89" s="38">
        <v>0</v>
      </c>
      <c r="N89" s="39"/>
      <c r="O89" s="32">
        <f t="shared" si="15"/>
        <v>0</v>
      </c>
      <c r="P89" s="32">
        <f t="shared" si="16"/>
        <v>3248</v>
      </c>
      <c r="Q89" s="29"/>
      <c r="R89" s="29"/>
      <c r="IP89" s="24"/>
      <c r="IQ89" s="24"/>
      <c r="IR89" s="24"/>
      <c r="IS89" s="24"/>
      <c r="IT89" s="24"/>
    </row>
    <row r="90" spans="1:254" s="23" customFormat="1" ht="16.5" customHeight="1">
      <c r="A90" s="41" t="s">
        <v>36</v>
      </c>
      <c r="B90" s="50"/>
      <c r="C90" s="36">
        <f>D90+G90+J90+M90</f>
        <v>2593</v>
      </c>
      <c r="D90" s="36">
        <v>0</v>
      </c>
      <c r="E90" s="37"/>
      <c r="F90" s="32">
        <f t="shared" si="12"/>
        <v>0</v>
      </c>
      <c r="G90" s="36">
        <v>0</v>
      </c>
      <c r="H90" s="37"/>
      <c r="I90" s="32">
        <f t="shared" si="13"/>
        <v>0</v>
      </c>
      <c r="J90" s="36">
        <v>2593</v>
      </c>
      <c r="K90" s="37"/>
      <c r="L90" s="32">
        <f t="shared" si="14"/>
        <v>2593</v>
      </c>
      <c r="M90" s="38">
        <v>0</v>
      </c>
      <c r="N90" s="39"/>
      <c r="O90" s="32">
        <f t="shared" si="15"/>
        <v>0</v>
      </c>
      <c r="P90" s="32">
        <f t="shared" si="16"/>
        <v>2593</v>
      </c>
      <c r="Q90" s="29"/>
      <c r="R90" s="29"/>
      <c r="IP90" s="24"/>
      <c r="IQ90" s="24"/>
      <c r="IR90" s="24"/>
      <c r="IS90" s="24"/>
      <c r="IT90" s="24"/>
    </row>
    <row r="91" spans="1:254" s="23" customFormat="1" ht="18" customHeight="1" hidden="1">
      <c r="A91" s="41"/>
      <c r="B91" s="25"/>
      <c r="C91" s="36"/>
      <c r="D91" s="36"/>
      <c r="E91" s="37"/>
      <c r="F91" s="32">
        <f t="shared" si="12"/>
        <v>0</v>
      </c>
      <c r="G91" s="36"/>
      <c r="H91" s="37"/>
      <c r="I91" s="32">
        <f t="shared" si="13"/>
        <v>0</v>
      </c>
      <c r="J91" s="36"/>
      <c r="K91" s="37"/>
      <c r="L91" s="32">
        <f t="shared" si="14"/>
        <v>0</v>
      </c>
      <c r="M91" s="38"/>
      <c r="N91" s="39"/>
      <c r="O91" s="32">
        <f t="shared" si="15"/>
        <v>0</v>
      </c>
      <c r="P91" s="32">
        <f t="shared" si="16"/>
        <v>0</v>
      </c>
      <c r="Q91" s="29"/>
      <c r="R91" s="29"/>
      <c r="IP91" s="24"/>
      <c r="IQ91" s="24"/>
      <c r="IR91" s="24"/>
      <c r="IS91" s="24"/>
      <c r="IT91" s="24"/>
    </row>
    <row r="92" spans="1:254" s="23" customFormat="1" ht="18" customHeight="1" hidden="1">
      <c r="A92" s="42"/>
      <c r="B92" s="25"/>
      <c r="C92" s="32">
        <f>C93+C94+C95+C96</f>
        <v>6413</v>
      </c>
      <c r="D92" s="32">
        <f>D93+D94+D95+D96</f>
        <v>1700</v>
      </c>
      <c r="E92" s="33"/>
      <c r="F92" s="32">
        <f t="shared" si="12"/>
        <v>1700</v>
      </c>
      <c r="G92" s="32">
        <f>G93+G94+G95+G96</f>
        <v>2120</v>
      </c>
      <c r="H92" s="33"/>
      <c r="I92" s="32">
        <f t="shared" si="13"/>
        <v>2120</v>
      </c>
      <c r="J92" s="32">
        <f>J93+J94+J95+J96</f>
        <v>2593</v>
      </c>
      <c r="K92" s="33"/>
      <c r="L92" s="32">
        <f t="shared" si="14"/>
        <v>2593</v>
      </c>
      <c r="M92" s="32">
        <f>M93+M94+M95+M96</f>
        <v>0</v>
      </c>
      <c r="N92" s="33"/>
      <c r="O92" s="32">
        <f t="shared" si="15"/>
        <v>0</v>
      </c>
      <c r="P92" s="32">
        <f t="shared" si="16"/>
        <v>6413</v>
      </c>
      <c r="Q92" s="29"/>
      <c r="R92" s="29"/>
      <c r="IP92" s="24"/>
      <c r="IQ92" s="24"/>
      <c r="IR92" s="24"/>
      <c r="IS92" s="24"/>
      <c r="IT92" s="24"/>
    </row>
    <row r="93" spans="1:254" s="23" customFormat="1" ht="18" customHeight="1" hidden="1">
      <c r="A93" s="41" t="s">
        <v>37</v>
      </c>
      <c r="B93" s="25"/>
      <c r="C93" s="36">
        <f>D93+G93+J93+M93</f>
        <v>496</v>
      </c>
      <c r="D93" s="36">
        <v>221</v>
      </c>
      <c r="E93" s="37"/>
      <c r="F93" s="32">
        <f t="shared" si="12"/>
        <v>221</v>
      </c>
      <c r="G93" s="36">
        <v>275</v>
      </c>
      <c r="H93" s="37"/>
      <c r="I93" s="32">
        <f t="shared" si="13"/>
        <v>275</v>
      </c>
      <c r="J93" s="36">
        <v>0</v>
      </c>
      <c r="K93" s="37"/>
      <c r="L93" s="32">
        <f t="shared" si="14"/>
        <v>0</v>
      </c>
      <c r="M93" s="38">
        <v>0</v>
      </c>
      <c r="N93" s="39"/>
      <c r="O93" s="32">
        <f t="shared" si="15"/>
        <v>0</v>
      </c>
      <c r="P93" s="32">
        <f t="shared" si="16"/>
        <v>496</v>
      </c>
      <c r="Q93" s="29"/>
      <c r="R93" s="29"/>
      <c r="IP93" s="24"/>
      <c r="IQ93" s="24"/>
      <c r="IR93" s="24"/>
      <c r="IS93" s="24"/>
      <c r="IT93" s="24"/>
    </row>
    <row r="94" spans="1:254" s="23" customFormat="1" ht="18" customHeight="1" hidden="1">
      <c r="A94" s="41" t="s">
        <v>38</v>
      </c>
      <c r="B94" s="25"/>
      <c r="C94" s="36">
        <f>D94+G94+J94+M94</f>
        <v>3248</v>
      </c>
      <c r="D94" s="36">
        <v>1445</v>
      </c>
      <c r="E94" s="37"/>
      <c r="F94" s="32">
        <f t="shared" si="12"/>
        <v>1445</v>
      </c>
      <c r="G94" s="36">
        <v>1803</v>
      </c>
      <c r="H94" s="37"/>
      <c r="I94" s="32">
        <f t="shared" si="13"/>
        <v>1803</v>
      </c>
      <c r="J94" s="36">
        <v>0</v>
      </c>
      <c r="K94" s="37"/>
      <c r="L94" s="32">
        <f t="shared" si="14"/>
        <v>0</v>
      </c>
      <c r="M94" s="38">
        <v>0</v>
      </c>
      <c r="N94" s="39"/>
      <c r="O94" s="32">
        <f t="shared" si="15"/>
        <v>0</v>
      </c>
      <c r="P94" s="32">
        <f t="shared" si="16"/>
        <v>3248</v>
      </c>
      <c r="Q94" s="29"/>
      <c r="R94" s="29"/>
      <c r="IP94" s="24"/>
      <c r="IQ94" s="24"/>
      <c r="IR94" s="24"/>
      <c r="IS94" s="24"/>
      <c r="IT94" s="24"/>
    </row>
    <row r="95" spans="1:254" s="23" customFormat="1" ht="18" customHeight="1" hidden="1">
      <c r="A95" s="41" t="s">
        <v>39</v>
      </c>
      <c r="B95" s="25"/>
      <c r="C95" s="36">
        <f>D95+G95+J95+M95</f>
        <v>0</v>
      </c>
      <c r="D95" s="36">
        <v>0</v>
      </c>
      <c r="E95" s="37"/>
      <c r="F95" s="32">
        <f t="shared" si="12"/>
        <v>0</v>
      </c>
      <c r="G95" s="36">
        <v>0</v>
      </c>
      <c r="H95" s="37"/>
      <c r="I95" s="32">
        <f t="shared" si="13"/>
        <v>0</v>
      </c>
      <c r="J95" s="36">
        <v>0</v>
      </c>
      <c r="K95" s="37"/>
      <c r="L95" s="32">
        <f t="shared" si="14"/>
        <v>0</v>
      </c>
      <c r="M95" s="38">
        <v>0</v>
      </c>
      <c r="N95" s="39"/>
      <c r="O95" s="32">
        <f t="shared" si="15"/>
        <v>0</v>
      </c>
      <c r="P95" s="32">
        <f t="shared" si="16"/>
        <v>0</v>
      </c>
      <c r="Q95" s="29"/>
      <c r="R95" s="29"/>
      <c r="IP95" s="24"/>
      <c r="IQ95" s="24"/>
      <c r="IR95" s="24"/>
      <c r="IS95" s="24"/>
      <c r="IT95" s="24"/>
    </row>
    <row r="96" spans="1:254" s="23" customFormat="1" ht="30" hidden="1">
      <c r="A96" s="52" t="s">
        <v>40</v>
      </c>
      <c r="B96" s="25"/>
      <c r="C96" s="36">
        <f>D96+G96+J96+M96</f>
        <v>2669</v>
      </c>
      <c r="D96" s="36">
        <v>34</v>
      </c>
      <c r="E96" s="37"/>
      <c r="F96" s="32">
        <f t="shared" si="12"/>
        <v>34</v>
      </c>
      <c r="G96" s="36">
        <v>42</v>
      </c>
      <c r="H96" s="37"/>
      <c r="I96" s="32">
        <f t="shared" si="13"/>
        <v>42</v>
      </c>
      <c r="J96" s="36">
        <v>2593</v>
      </c>
      <c r="K96" s="37"/>
      <c r="L96" s="32">
        <f t="shared" si="14"/>
        <v>2593</v>
      </c>
      <c r="M96" s="38">
        <v>0</v>
      </c>
      <c r="N96" s="39"/>
      <c r="O96" s="32">
        <f t="shared" si="15"/>
        <v>0</v>
      </c>
      <c r="P96" s="32">
        <f t="shared" si="16"/>
        <v>2669</v>
      </c>
      <c r="Q96" s="29"/>
      <c r="R96" s="29"/>
      <c r="IP96" s="24"/>
      <c r="IQ96" s="24"/>
      <c r="IR96" s="24"/>
      <c r="IS96" s="24"/>
      <c r="IT96" s="24"/>
    </row>
    <row r="97" spans="1:254" s="80" customFormat="1" ht="34.5" customHeight="1">
      <c r="A97" s="78" t="s">
        <v>47</v>
      </c>
      <c r="B97" s="25" t="s">
        <v>48</v>
      </c>
      <c r="C97" s="44">
        <f>C98+C99+C100</f>
        <v>8640</v>
      </c>
      <c r="D97" s="44">
        <f>D98+D99+D100</f>
        <v>3573</v>
      </c>
      <c r="E97" s="45"/>
      <c r="F97" s="32">
        <f t="shared" si="12"/>
        <v>3573</v>
      </c>
      <c r="G97" s="44">
        <f>G98+G99+G100</f>
        <v>1875</v>
      </c>
      <c r="H97" s="45"/>
      <c r="I97" s="32">
        <f t="shared" si="13"/>
        <v>1875</v>
      </c>
      <c r="J97" s="44">
        <f>J98+J99+J100</f>
        <v>2147</v>
      </c>
      <c r="K97" s="45"/>
      <c r="L97" s="32">
        <f t="shared" si="14"/>
        <v>2147</v>
      </c>
      <c r="M97" s="44">
        <f>M98+M99+M100</f>
        <v>1045</v>
      </c>
      <c r="N97" s="45"/>
      <c r="O97" s="32">
        <f t="shared" si="15"/>
        <v>1045</v>
      </c>
      <c r="P97" s="32">
        <f t="shared" si="16"/>
        <v>8640</v>
      </c>
      <c r="Q97" s="79">
        <f>Q98+Q100</f>
        <v>8</v>
      </c>
      <c r="R97" s="79">
        <f>R98+R100</f>
        <v>0</v>
      </c>
      <c r="S97" s="79">
        <f>S98+S100</f>
        <v>2001</v>
      </c>
      <c r="IP97" s="81"/>
      <c r="IQ97" s="81"/>
      <c r="IR97" s="81"/>
      <c r="IS97" s="81"/>
      <c r="IT97" s="81"/>
    </row>
    <row r="98" spans="1:254" s="80" customFormat="1" ht="16.5" customHeight="1">
      <c r="A98" s="46" t="s">
        <v>34</v>
      </c>
      <c r="B98" s="82"/>
      <c r="C98" s="83">
        <f>(D98+G98+J98+M98)</f>
        <v>1381</v>
      </c>
      <c r="D98" s="83">
        <v>526</v>
      </c>
      <c r="E98" s="84"/>
      <c r="F98" s="32">
        <f t="shared" si="12"/>
        <v>526</v>
      </c>
      <c r="G98" s="83">
        <v>390</v>
      </c>
      <c r="H98" s="84"/>
      <c r="I98" s="32">
        <f t="shared" si="13"/>
        <v>390</v>
      </c>
      <c r="J98" s="83">
        <v>315</v>
      </c>
      <c r="K98" s="84"/>
      <c r="L98" s="32">
        <f t="shared" si="14"/>
        <v>315</v>
      </c>
      <c r="M98" s="83">
        <v>150</v>
      </c>
      <c r="N98" s="84"/>
      <c r="O98" s="32">
        <f t="shared" si="15"/>
        <v>150</v>
      </c>
      <c r="P98" s="32">
        <f t="shared" si="16"/>
        <v>1381</v>
      </c>
      <c r="Q98" s="173">
        <v>8</v>
      </c>
      <c r="R98" s="174">
        <v>0</v>
      </c>
      <c r="S98" s="174">
        <v>1994</v>
      </c>
      <c r="T98" s="85"/>
      <c r="IP98" s="81"/>
      <c r="IQ98" s="81"/>
      <c r="IR98" s="81"/>
      <c r="IS98" s="81"/>
      <c r="IT98" s="81"/>
    </row>
    <row r="99" spans="1:254" s="80" customFormat="1" ht="16.5" customHeight="1">
      <c r="A99" s="41" t="s">
        <v>35</v>
      </c>
      <c r="B99" s="86"/>
      <c r="C99" s="83">
        <f>(D99+G99+J99+M99)</f>
        <v>7165</v>
      </c>
      <c r="D99" s="83">
        <f>2987+60</f>
        <v>3047</v>
      </c>
      <c r="E99" s="84"/>
      <c r="F99" s="32">
        <f t="shared" si="12"/>
        <v>3047</v>
      </c>
      <c r="G99" s="83">
        <f>2210-725</f>
        <v>1485</v>
      </c>
      <c r="H99" s="84"/>
      <c r="I99" s="32">
        <f t="shared" si="13"/>
        <v>1485</v>
      </c>
      <c r="J99" s="83">
        <v>1785</v>
      </c>
      <c r="K99" s="84"/>
      <c r="L99" s="32">
        <f t="shared" si="14"/>
        <v>1785</v>
      </c>
      <c r="M99" s="83">
        <v>848</v>
      </c>
      <c r="N99" s="84"/>
      <c r="O99" s="32">
        <f t="shared" si="15"/>
        <v>848</v>
      </c>
      <c r="P99" s="32">
        <f t="shared" si="16"/>
        <v>7165</v>
      </c>
      <c r="Q99" s="173"/>
      <c r="R99" s="173"/>
      <c r="S99" s="174"/>
      <c r="IP99" s="81"/>
      <c r="IQ99" s="81"/>
      <c r="IR99" s="81"/>
      <c r="IS99" s="81"/>
      <c r="IT99" s="81"/>
    </row>
    <row r="100" spans="1:254" s="80" customFormat="1" ht="15.75" customHeight="1">
      <c r="A100" s="41" t="s">
        <v>36</v>
      </c>
      <c r="B100" s="87"/>
      <c r="C100" s="83">
        <f>(D100+G100+J100+M100)</f>
        <v>94</v>
      </c>
      <c r="D100" s="83">
        <v>0</v>
      </c>
      <c r="E100" s="84"/>
      <c r="F100" s="32">
        <f t="shared" si="12"/>
        <v>0</v>
      </c>
      <c r="G100" s="83"/>
      <c r="H100" s="84"/>
      <c r="I100" s="32">
        <f t="shared" si="13"/>
        <v>0</v>
      </c>
      <c r="J100" s="83">
        <v>47</v>
      </c>
      <c r="K100" s="84"/>
      <c r="L100" s="32">
        <f t="shared" si="14"/>
        <v>47</v>
      </c>
      <c r="M100" s="83">
        <v>47</v>
      </c>
      <c r="N100" s="84"/>
      <c r="O100" s="32">
        <f t="shared" si="15"/>
        <v>47</v>
      </c>
      <c r="P100" s="32">
        <f t="shared" si="16"/>
        <v>94</v>
      </c>
      <c r="Q100" s="79"/>
      <c r="R100" s="79">
        <v>0</v>
      </c>
      <c r="S100" s="80">
        <v>7</v>
      </c>
      <c r="IP100" s="81"/>
      <c r="IQ100" s="81"/>
      <c r="IR100" s="81"/>
      <c r="IS100" s="81"/>
      <c r="IT100" s="81"/>
    </row>
    <row r="101" spans="1:254" s="80" customFormat="1" ht="16.5" customHeight="1" hidden="1">
      <c r="A101" s="41"/>
      <c r="B101" s="88"/>
      <c r="C101" s="83"/>
      <c r="D101" s="83"/>
      <c r="E101" s="84"/>
      <c r="F101" s="32">
        <f t="shared" si="12"/>
        <v>0</v>
      </c>
      <c r="G101" s="83"/>
      <c r="H101" s="84"/>
      <c r="I101" s="32">
        <f t="shared" si="13"/>
        <v>0</v>
      </c>
      <c r="J101" s="83"/>
      <c r="K101" s="84"/>
      <c r="L101" s="32">
        <f t="shared" si="14"/>
        <v>0</v>
      </c>
      <c r="M101" s="83"/>
      <c r="N101" s="84"/>
      <c r="O101" s="32">
        <f t="shared" si="15"/>
        <v>0</v>
      </c>
      <c r="P101" s="32">
        <f t="shared" si="16"/>
        <v>0</v>
      </c>
      <c r="Q101" s="89"/>
      <c r="R101" s="89"/>
      <c r="IP101" s="81"/>
      <c r="IQ101" s="81"/>
      <c r="IR101" s="81"/>
      <c r="IS101" s="81"/>
      <c r="IT101" s="81"/>
    </row>
    <row r="102" spans="1:254" s="93" customFormat="1" ht="16.5" customHeight="1" hidden="1">
      <c r="A102" s="42"/>
      <c r="B102" s="31"/>
      <c r="C102" s="90">
        <f>C103+C104+C105+C107+C106</f>
        <v>8640</v>
      </c>
      <c r="D102" s="90">
        <f>D103+D104+D105+D107+D106</f>
        <v>3573</v>
      </c>
      <c r="E102" s="91"/>
      <c r="F102" s="32">
        <f t="shared" si="12"/>
        <v>3573</v>
      </c>
      <c r="G102" s="90">
        <f>G103+G104+G105+G107+G106</f>
        <v>1875</v>
      </c>
      <c r="H102" s="91"/>
      <c r="I102" s="32">
        <f t="shared" si="13"/>
        <v>1875</v>
      </c>
      <c r="J102" s="90">
        <f>J103+J104+J105+J107+J106</f>
        <v>2147</v>
      </c>
      <c r="K102" s="91"/>
      <c r="L102" s="32">
        <f t="shared" si="14"/>
        <v>2147</v>
      </c>
      <c r="M102" s="90">
        <f>M103+M104+M105+M107+M106</f>
        <v>1045</v>
      </c>
      <c r="N102" s="91"/>
      <c r="O102" s="32">
        <f t="shared" si="15"/>
        <v>1045</v>
      </c>
      <c r="P102" s="32">
        <f t="shared" si="16"/>
        <v>8640</v>
      </c>
      <c r="Q102" s="92"/>
      <c r="R102" s="92"/>
      <c r="IP102" s="94"/>
      <c r="IQ102" s="94"/>
      <c r="IR102" s="94"/>
      <c r="IS102" s="94"/>
      <c r="IT102" s="94"/>
    </row>
    <row r="103" spans="1:254" s="80" customFormat="1" ht="16.5" customHeight="1" hidden="1">
      <c r="A103" s="41" t="s">
        <v>37</v>
      </c>
      <c r="B103" s="88"/>
      <c r="C103" s="95">
        <f aca="true" t="shared" si="17" ref="C103:C142">D103+G103+J103+M103</f>
        <v>1103</v>
      </c>
      <c r="D103" s="95">
        <f>0</f>
        <v>0</v>
      </c>
      <c r="E103" s="96"/>
      <c r="F103" s="32">
        <f t="shared" si="12"/>
        <v>0</v>
      </c>
      <c r="G103" s="95">
        <f>G97-G104-G107</f>
        <v>703</v>
      </c>
      <c r="H103" s="96"/>
      <c r="I103" s="32">
        <f t="shared" si="13"/>
        <v>703</v>
      </c>
      <c r="J103" s="95">
        <f>J97-J104-J107</f>
        <v>271</v>
      </c>
      <c r="K103" s="96"/>
      <c r="L103" s="32">
        <f t="shared" si="14"/>
        <v>271</v>
      </c>
      <c r="M103" s="95">
        <f>M97-M104-M107</f>
        <v>129</v>
      </c>
      <c r="N103" s="96"/>
      <c r="O103" s="32">
        <f t="shared" si="15"/>
        <v>129</v>
      </c>
      <c r="P103" s="32">
        <f t="shared" si="16"/>
        <v>1103</v>
      </c>
      <c r="Q103" s="89"/>
      <c r="R103" s="89"/>
      <c r="IP103" s="81"/>
      <c r="IQ103" s="81"/>
      <c r="IR103" s="81"/>
      <c r="IS103" s="81"/>
      <c r="IT103" s="81"/>
    </row>
    <row r="104" spans="1:254" s="80" customFormat="1" ht="16.5" customHeight="1" hidden="1">
      <c r="A104" s="41" t="s">
        <v>38</v>
      </c>
      <c r="B104" s="88"/>
      <c r="C104" s="95">
        <f t="shared" si="17"/>
        <v>3750</v>
      </c>
      <c r="D104" s="95">
        <v>0</v>
      </c>
      <c r="E104" s="96"/>
      <c r="F104" s="32">
        <f t="shared" si="12"/>
        <v>0</v>
      </c>
      <c r="G104" s="95">
        <v>1117</v>
      </c>
      <c r="H104" s="96"/>
      <c r="I104" s="32">
        <f t="shared" si="13"/>
        <v>1117</v>
      </c>
      <c r="J104" s="95">
        <f>J99</f>
        <v>1785</v>
      </c>
      <c r="K104" s="96"/>
      <c r="L104" s="32">
        <f t="shared" si="14"/>
        <v>1785</v>
      </c>
      <c r="M104" s="95">
        <f>M99</f>
        <v>848</v>
      </c>
      <c r="N104" s="96"/>
      <c r="O104" s="32">
        <f t="shared" si="15"/>
        <v>848</v>
      </c>
      <c r="P104" s="32">
        <f t="shared" si="16"/>
        <v>3750</v>
      </c>
      <c r="Q104" s="89"/>
      <c r="R104" s="89"/>
      <c r="IP104" s="81"/>
      <c r="IQ104" s="81"/>
      <c r="IR104" s="81"/>
      <c r="IS104" s="81"/>
      <c r="IT104" s="81"/>
    </row>
    <row r="105" spans="1:254" s="80" customFormat="1" ht="16.5" customHeight="1" hidden="1">
      <c r="A105" s="41" t="s">
        <v>39</v>
      </c>
      <c r="B105" s="88"/>
      <c r="C105" s="95">
        <f t="shared" si="17"/>
        <v>0</v>
      </c>
      <c r="D105" s="95"/>
      <c r="E105" s="96"/>
      <c r="F105" s="32">
        <f t="shared" si="12"/>
        <v>0</v>
      </c>
      <c r="G105" s="95"/>
      <c r="H105" s="96"/>
      <c r="I105" s="32">
        <f t="shared" si="13"/>
        <v>0</v>
      </c>
      <c r="J105" s="95"/>
      <c r="K105" s="96"/>
      <c r="L105" s="32">
        <f t="shared" si="14"/>
        <v>0</v>
      </c>
      <c r="M105" s="95"/>
      <c r="N105" s="96"/>
      <c r="O105" s="32">
        <f t="shared" si="15"/>
        <v>0</v>
      </c>
      <c r="P105" s="32">
        <f t="shared" si="16"/>
        <v>0</v>
      </c>
      <c r="Q105" s="89"/>
      <c r="R105" s="89"/>
      <c r="IP105" s="81"/>
      <c r="IQ105" s="81"/>
      <c r="IR105" s="81"/>
      <c r="IS105" s="81"/>
      <c r="IT105" s="81"/>
    </row>
    <row r="106" spans="1:254" s="80" customFormat="1" ht="16.5" customHeight="1" hidden="1">
      <c r="A106" s="41" t="s">
        <v>49</v>
      </c>
      <c r="B106" s="88"/>
      <c r="C106" s="95">
        <f t="shared" si="17"/>
        <v>3513</v>
      </c>
      <c r="D106" s="95">
        <v>3513</v>
      </c>
      <c r="E106" s="96"/>
      <c r="F106" s="32">
        <f t="shared" si="12"/>
        <v>3513</v>
      </c>
      <c r="G106" s="95"/>
      <c r="H106" s="96"/>
      <c r="I106" s="32">
        <f t="shared" si="13"/>
        <v>0</v>
      </c>
      <c r="J106" s="95"/>
      <c r="K106" s="96"/>
      <c r="L106" s="32">
        <f t="shared" si="14"/>
        <v>0</v>
      </c>
      <c r="M106" s="95"/>
      <c r="N106" s="96"/>
      <c r="O106" s="32">
        <f t="shared" si="15"/>
        <v>0</v>
      </c>
      <c r="P106" s="32">
        <f t="shared" si="16"/>
        <v>3513</v>
      </c>
      <c r="Q106" s="89"/>
      <c r="R106" s="89"/>
      <c r="IP106" s="81"/>
      <c r="IQ106" s="81"/>
      <c r="IR106" s="81"/>
      <c r="IS106" s="81"/>
      <c r="IT106" s="81"/>
    </row>
    <row r="107" spans="1:254" s="99" customFormat="1" ht="30" hidden="1">
      <c r="A107" s="52" t="s">
        <v>40</v>
      </c>
      <c r="B107" s="97"/>
      <c r="C107" s="95">
        <f t="shared" si="17"/>
        <v>274</v>
      </c>
      <c r="D107" s="95">
        <v>60</v>
      </c>
      <c r="E107" s="96"/>
      <c r="F107" s="32">
        <f t="shared" si="12"/>
        <v>60</v>
      </c>
      <c r="G107" s="95">
        <v>55</v>
      </c>
      <c r="H107" s="96"/>
      <c r="I107" s="32">
        <f t="shared" si="13"/>
        <v>55</v>
      </c>
      <c r="J107" s="95">
        <f>J100+44</f>
        <v>91</v>
      </c>
      <c r="K107" s="96"/>
      <c r="L107" s="32">
        <f t="shared" si="14"/>
        <v>91</v>
      </c>
      <c r="M107" s="95">
        <f>M100+21</f>
        <v>68</v>
      </c>
      <c r="N107" s="96"/>
      <c r="O107" s="32">
        <f t="shared" si="15"/>
        <v>68</v>
      </c>
      <c r="P107" s="32">
        <f t="shared" si="16"/>
        <v>274</v>
      </c>
      <c r="Q107" s="98"/>
      <c r="R107" s="98"/>
      <c r="IP107" s="100"/>
      <c r="IQ107" s="100"/>
      <c r="IR107" s="100"/>
      <c r="IS107" s="100"/>
      <c r="IT107" s="100"/>
    </row>
    <row r="108" spans="1:254" s="80" customFormat="1" ht="42" customHeight="1">
      <c r="A108" s="78" t="s">
        <v>47</v>
      </c>
      <c r="B108" s="25" t="s">
        <v>50</v>
      </c>
      <c r="C108" s="44">
        <f t="shared" si="17"/>
        <v>3233</v>
      </c>
      <c r="D108" s="44">
        <f>D109+D110+D111</f>
        <v>2000</v>
      </c>
      <c r="E108" s="45"/>
      <c r="F108" s="32">
        <f t="shared" si="12"/>
        <v>2000</v>
      </c>
      <c r="G108" s="44">
        <f>G109+G110+G111</f>
        <v>600</v>
      </c>
      <c r="H108" s="45"/>
      <c r="I108" s="32">
        <f t="shared" si="13"/>
        <v>600</v>
      </c>
      <c r="J108" s="44">
        <f>J109+J110+J111</f>
        <v>500</v>
      </c>
      <c r="K108" s="45"/>
      <c r="L108" s="32">
        <f t="shared" si="14"/>
        <v>500</v>
      </c>
      <c r="M108" s="44">
        <f>M109+M110+M111</f>
        <v>133</v>
      </c>
      <c r="N108" s="45"/>
      <c r="O108" s="32">
        <f t="shared" si="15"/>
        <v>133</v>
      </c>
      <c r="P108" s="32">
        <f t="shared" si="16"/>
        <v>3233</v>
      </c>
      <c r="Q108" s="101">
        <f>Q109+Q111</f>
        <v>8</v>
      </c>
      <c r="R108" s="101">
        <f>R109+R111</f>
        <v>0</v>
      </c>
      <c r="S108" s="101">
        <f>S109+S111</f>
        <v>645</v>
      </c>
      <c r="IP108" s="81"/>
      <c r="IQ108" s="81"/>
      <c r="IR108" s="81"/>
      <c r="IS108" s="81"/>
      <c r="IT108" s="81"/>
    </row>
    <row r="109" spans="1:254" s="80" customFormat="1" ht="16.5" customHeight="1">
      <c r="A109" s="46" t="s">
        <v>34</v>
      </c>
      <c r="B109" s="47"/>
      <c r="C109" s="48">
        <f t="shared" si="17"/>
        <v>485</v>
      </c>
      <c r="D109" s="95">
        <v>300</v>
      </c>
      <c r="E109" s="96"/>
      <c r="F109" s="32">
        <f t="shared" si="12"/>
        <v>300</v>
      </c>
      <c r="G109" s="83">
        <v>90</v>
      </c>
      <c r="H109" s="84"/>
      <c r="I109" s="32">
        <f t="shared" si="13"/>
        <v>90</v>
      </c>
      <c r="J109" s="83">
        <v>75</v>
      </c>
      <c r="K109" s="84"/>
      <c r="L109" s="32">
        <f t="shared" si="14"/>
        <v>75</v>
      </c>
      <c r="M109" s="83">
        <v>20</v>
      </c>
      <c r="N109" s="84"/>
      <c r="O109" s="32">
        <f t="shared" si="15"/>
        <v>20</v>
      </c>
      <c r="P109" s="32">
        <f t="shared" si="16"/>
        <v>485</v>
      </c>
      <c r="Q109" s="175">
        <v>8</v>
      </c>
      <c r="R109" s="176">
        <v>0</v>
      </c>
      <c r="S109" s="176">
        <v>643</v>
      </c>
      <c r="IP109" s="81"/>
      <c r="IQ109" s="81"/>
      <c r="IR109" s="81"/>
      <c r="IS109" s="81"/>
      <c r="IT109" s="81"/>
    </row>
    <row r="110" spans="1:254" s="80" customFormat="1" ht="16.5" customHeight="1">
      <c r="A110" s="41" t="s">
        <v>35</v>
      </c>
      <c r="B110" s="49"/>
      <c r="C110" s="48">
        <f t="shared" si="17"/>
        <v>2744</v>
      </c>
      <c r="D110" s="95">
        <v>1699</v>
      </c>
      <c r="E110" s="96"/>
      <c r="F110" s="32">
        <f t="shared" si="12"/>
        <v>1699</v>
      </c>
      <c r="G110" s="83">
        <v>509</v>
      </c>
      <c r="H110" s="84"/>
      <c r="I110" s="32">
        <f t="shared" si="13"/>
        <v>509</v>
      </c>
      <c r="J110" s="95">
        <v>424</v>
      </c>
      <c r="K110" s="96"/>
      <c r="L110" s="32">
        <f t="shared" si="14"/>
        <v>424</v>
      </c>
      <c r="M110" s="83">
        <v>112</v>
      </c>
      <c r="N110" s="84"/>
      <c r="O110" s="32">
        <f t="shared" si="15"/>
        <v>112</v>
      </c>
      <c r="P110" s="32">
        <f t="shared" si="16"/>
        <v>2744</v>
      </c>
      <c r="Q110" s="175"/>
      <c r="R110" s="175"/>
      <c r="S110" s="176"/>
      <c r="IP110" s="81"/>
      <c r="IQ110" s="81"/>
      <c r="IR110" s="81"/>
      <c r="IS110" s="81"/>
      <c r="IT110" s="81"/>
    </row>
    <row r="111" spans="1:254" s="80" customFormat="1" ht="16.5" customHeight="1">
      <c r="A111" s="41" t="s">
        <v>36</v>
      </c>
      <c r="B111" s="50"/>
      <c r="C111" s="48">
        <f t="shared" si="17"/>
        <v>4</v>
      </c>
      <c r="D111" s="83">
        <v>1</v>
      </c>
      <c r="E111" s="84"/>
      <c r="F111" s="32">
        <f t="shared" si="12"/>
        <v>1</v>
      </c>
      <c r="G111" s="83">
        <v>1</v>
      </c>
      <c r="H111" s="84"/>
      <c r="I111" s="32">
        <f t="shared" si="13"/>
        <v>1</v>
      </c>
      <c r="J111" s="83">
        <v>1</v>
      </c>
      <c r="K111" s="84"/>
      <c r="L111" s="32">
        <f t="shared" si="14"/>
        <v>1</v>
      </c>
      <c r="M111" s="83">
        <v>1</v>
      </c>
      <c r="N111" s="84"/>
      <c r="O111" s="32">
        <f t="shared" si="15"/>
        <v>1</v>
      </c>
      <c r="P111" s="32">
        <f t="shared" si="16"/>
        <v>4</v>
      </c>
      <c r="Q111" s="101"/>
      <c r="R111" s="101">
        <v>0</v>
      </c>
      <c r="S111" s="102">
        <v>2</v>
      </c>
      <c r="IP111" s="81"/>
      <c r="IQ111" s="81"/>
      <c r="IR111" s="81"/>
      <c r="IS111" s="81"/>
      <c r="IT111" s="81"/>
    </row>
    <row r="112" spans="1:254" s="80" customFormat="1" ht="16.5" customHeight="1" hidden="1">
      <c r="A112" s="41"/>
      <c r="B112" s="88"/>
      <c r="C112" s="48">
        <f t="shared" si="17"/>
        <v>0</v>
      </c>
      <c r="D112" s="83"/>
      <c r="E112" s="84"/>
      <c r="F112" s="32">
        <f t="shared" si="12"/>
        <v>0</v>
      </c>
      <c r="G112" s="83"/>
      <c r="H112" s="84"/>
      <c r="I112" s="32">
        <f t="shared" si="13"/>
        <v>0</v>
      </c>
      <c r="J112" s="83"/>
      <c r="K112" s="84"/>
      <c r="L112" s="32">
        <f t="shared" si="14"/>
        <v>0</v>
      </c>
      <c r="M112" s="83"/>
      <c r="N112" s="84"/>
      <c r="O112" s="32">
        <f t="shared" si="15"/>
        <v>0</v>
      </c>
      <c r="P112" s="32">
        <f t="shared" si="16"/>
        <v>0</v>
      </c>
      <c r="Q112" s="103"/>
      <c r="R112" s="103"/>
      <c r="S112" s="102"/>
      <c r="IP112" s="81"/>
      <c r="IQ112" s="81"/>
      <c r="IR112" s="81"/>
      <c r="IS112" s="81"/>
      <c r="IT112" s="81"/>
    </row>
    <row r="113" spans="1:254" s="93" customFormat="1" ht="16.5" customHeight="1" hidden="1">
      <c r="A113" s="42"/>
      <c r="B113" s="31"/>
      <c r="C113" s="44">
        <f t="shared" si="17"/>
        <v>3233</v>
      </c>
      <c r="D113" s="90">
        <f>D114+D115+D116+D118+D117</f>
        <v>2000</v>
      </c>
      <c r="E113" s="91"/>
      <c r="F113" s="32">
        <f t="shared" si="12"/>
        <v>2000</v>
      </c>
      <c r="G113" s="90">
        <f>G114+G115+G116+G118+G117</f>
        <v>600</v>
      </c>
      <c r="H113" s="91"/>
      <c r="I113" s="32">
        <f t="shared" si="13"/>
        <v>600</v>
      </c>
      <c r="J113" s="90">
        <f>J114+J115+J116+J118+J117</f>
        <v>500</v>
      </c>
      <c r="K113" s="91"/>
      <c r="L113" s="32">
        <f t="shared" si="14"/>
        <v>500</v>
      </c>
      <c r="M113" s="90">
        <f>M114+M115+M116+M117+M118</f>
        <v>133</v>
      </c>
      <c r="N113" s="91"/>
      <c r="O113" s="32">
        <f t="shared" si="15"/>
        <v>133</v>
      </c>
      <c r="P113" s="32">
        <f t="shared" si="16"/>
        <v>3233</v>
      </c>
      <c r="Q113" s="104"/>
      <c r="R113" s="104"/>
      <c r="S113" s="105"/>
      <c r="IP113" s="94"/>
      <c r="IQ113" s="94"/>
      <c r="IR113" s="94"/>
      <c r="IS113" s="94"/>
      <c r="IT113" s="94"/>
    </row>
    <row r="114" spans="1:254" s="80" customFormat="1" ht="16.5" customHeight="1" hidden="1">
      <c r="A114" s="41" t="s">
        <v>37</v>
      </c>
      <c r="B114" s="88"/>
      <c r="C114" s="48">
        <f t="shared" si="17"/>
        <v>420</v>
      </c>
      <c r="D114" s="95">
        <v>260</v>
      </c>
      <c r="E114" s="96"/>
      <c r="F114" s="32">
        <f t="shared" si="12"/>
        <v>260</v>
      </c>
      <c r="G114" s="95">
        <v>78</v>
      </c>
      <c r="H114" s="96"/>
      <c r="I114" s="32">
        <f t="shared" si="13"/>
        <v>78</v>
      </c>
      <c r="J114" s="95">
        <v>65</v>
      </c>
      <c r="K114" s="96"/>
      <c r="L114" s="32">
        <f t="shared" si="14"/>
        <v>65</v>
      </c>
      <c r="M114" s="95">
        <v>17</v>
      </c>
      <c r="N114" s="96"/>
      <c r="O114" s="32">
        <f t="shared" si="15"/>
        <v>17</v>
      </c>
      <c r="P114" s="32">
        <f t="shared" si="16"/>
        <v>420</v>
      </c>
      <c r="Q114" s="103"/>
      <c r="R114" s="103"/>
      <c r="S114" s="102"/>
      <c r="IP114" s="81"/>
      <c r="IQ114" s="81"/>
      <c r="IR114" s="81"/>
      <c r="IS114" s="81"/>
      <c r="IT114" s="81"/>
    </row>
    <row r="115" spans="1:254" s="80" customFormat="1" ht="16.5" customHeight="1" hidden="1">
      <c r="A115" s="41" t="s">
        <v>38</v>
      </c>
      <c r="B115" s="88"/>
      <c r="C115" s="48">
        <f t="shared" si="17"/>
        <v>1609</v>
      </c>
      <c r="D115" s="95">
        <v>564</v>
      </c>
      <c r="E115" s="96"/>
      <c r="F115" s="32">
        <f t="shared" si="12"/>
        <v>564</v>
      </c>
      <c r="G115" s="95">
        <v>509</v>
      </c>
      <c r="H115" s="96"/>
      <c r="I115" s="32">
        <f t="shared" si="13"/>
        <v>509</v>
      </c>
      <c r="J115" s="95">
        <v>424</v>
      </c>
      <c r="K115" s="96"/>
      <c r="L115" s="32">
        <f t="shared" si="14"/>
        <v>424</v>
      </c>
      <c r="M115" s="95">
        <v>112</v>
      </c>
      <c r="N115" s="96"/>
      <c r="O115" s="32">
        <f t="shared" si="15"/>
        <v>112</v>
      </c>
      <c r="P115" s="32">
        <f t="shared" si="16"/>
        <v>1609</v>
      </c>
      <c r="Q115" s="103"/>
      <c r="R115" s="103"/>
      <c r="S115" s="102"/>
      <c r="IP115" s="81"/>
      <c r="IQ115" s="81"/>
      <c r="IR115" s="81"/>
      <c r="IS115" s="81"/>
      <c r="IT115" s="81"/>
    </row>
    <row r="116" spans="1:254" s="80" customFormat="1" ht="16.5" customHeight="1" hidden="1">
      <c r="A116" s="41" t="s">
        <v>39</v>
      </c>
      <c r="B116" s="88" t="s">
        <v>51</v>
      </c>
      <c r="C116" s="48">
        <f t="shared" si="17"/>
        <v>0</v>
      </c>
      <c r="D116" s="95">
        <v>0</v>
      </c>
      <c r="E116" s="96"/>
      <c r="F116" s="32">
        <f t="shared" si="12"/>
        <v>0</v>
      </c>
      <c r="G116" s="95">
        <v>0</v>
      </c>
      <c r="H116" s="96"/>
      <c r="I116" s="32">
        <f t="shared" si="13"/>
        <v>0</v>
      </c>
      <c r="J116" s="95">
        <v>0</v>
      </c>
      <c r="K116" s="96"/>
      <c r="L116" s="32">
        <f t="shared" si="14"/>
        <v>0</v>
      </c>
      <c r="M116" s="95">
        <v>0</v>
      </c>
      <c r="N116" s="96"/>
      <c r="O116" s="32">
        <f t="shared" si="15"/>
        <v>0</v>
      </c>
      <c r="P116" s="32">
        <f t="shared" si="16"/>
        <v>0</v>
      </c>
      <c r="Q116" s="103"/>
      <c r="R116" s="103"/>
      <c r="S116" s="102"/>
      <c r="IP116" s="81"/>
      <c r="IQ116" s="81"/>
      <c r="IR116" s="81"/>
      <c r="IS116" s="81"/>
      <c r="IT116" s="81"/>
    </row>
    <row r="117" spans="1:254" s="80" customFormat="1" ht="16.5" customHeight="1" hidden="1">
      <c r="A117" s="41" t="s">
        <v>49</v>
      </c>
      <c r="B117" s="88" t="s">
        <v>51</v>
      </c>
      <c r="C117" s="48">
        <f t="shared" si="17"/>
        <v>1135</v>
      </c>
      <c r="D117" s="95">
        <v>1135</v>
      </c>
      <c r="E117" s="96"/>
      <c r="F117" s="32">
        <f aca="true" t="shared" si="18" ref="F117:F148">D117+E117</f>
        <v>1135</v>
      </c>
      <c r="G117" s="95">
        <v>0</v>
      </c>
      <c r="H117" s="96"/>
      <c r="I117" s="32">
        <f aca="true" t="shared" si="19" ref="I117:I148">G117+H117</f>
        <v>0</v>
      </c>
      <c r="J117" s="95">
        <v>0</v>
      </c>
      <c r="K117" s="96"/>
      <c r="L117" s="32">
        <f aca="true" t="shared" si="20" ref="L117:L148">J117+K117</f>
        <v>0</v>
      </c>
      <c r="M117" s="95">
        <v>0</v>
      </c>
      <c r="N117" s="96"/>
      <c r="O117" s="32">
        <f aca="true" t="shared" si="21" ref="O117:O148">M117+N117</f>
        <v>0</v>
      </c>
      <c r="P117" s="32">
        <f aca="true" t="shared" si="22" ref="P117:P148">F117+I117+L117+O117</f>
        <v>1135</v>
      </c>
      <c r="Q117" s="103"/>
      <c r="R117" s="103"/>
      <c r="S117" s="102"/>
      <c r="IP117" s="81"/>
      <c r="IQ117" s="81"/>
      <c r="IR117" s="81"/>
      <c r="IS117" s="81"/>
      <c r="IT117" s="81"/>
    </row>
    <row r="118" spans="1:254" s="99" customFormat="1" ht="32.25" customHeight="1" hidden="1">
      <c r="A118" s="52" t="s">
        <v>40</v>
      </c>
      <c r="B118" s="97"/>
      <c r="C118" s="48">
        <f t="shared" si="17"/>
        <v>69</v>
      </c>
      <c r="D118" s="95">
        <v>41</v>
      </c>
      <c r="E118" s="96"/>
      <c r="F118" s="32">
        <f t="shared" si="18"/>
        <v>41</v>
      </c>
      <c r="G118" s="95">
        <v>13</v>
      </c>
      <c r="H118" s="96"/>
      <c r="I118" s="32">
        <f t="shared" si="19"/>
        <v>13</v>
      </c>
      <c r="J118" s="95">
        <v>11</v>
      </c>
      <c r="K118" s="96"/>
      <c r="L118" s="32">
        <f t="shared" si="20"/>
        <v>11</v>
      </c>
      <c r="M118" s="95">
        <v>4</v>
      </c>
      <c r="N118" s="96"/>
      <c r="O118" s="32">
        <f t="shared" si="21"/>
        <v>4</v>
      </c>
      <c r="P118" s="32">
        <f t="shared" si="22"/>
        <v>69</v>
      </c>
      <c r="Q118" s="106"/>
      <c r="R118" s="106"/>
      <c r="S118" s="107"/>
      <c r="IP118" s="100"/>
      <c r="IQ118" s="100"/>
      <c r="IR118" s="100"/>
      <c r="IS118" s="100"/>
      <c r="IT118" s="100"/>
    </row>
    <row r="119" spans="1:254" s="99" customFormat="1" ht="15" customHeight="1">
      <c r="A119" s="108" t="s">
        <v>52</v>
      </c>
      <c r="B119" s="109" t="s">
        <v>53</v>
      </c>
      <c r="C119" s="44">
        <f t="shared" si="17"/>
        <v>0</v>
      </c>
      <c r="D119" s="110">
        <f>D120+D121+D122</f>
        <v>0</v>
      </c>
      <c r="E119" s="111"/>
      <c r="F119" s="32">
        <f t="shared" si="18"/>
        <v>0</v>
      </c>
      <c r="G119" s="110">
        <f>G120+G121+G122</f>
        <v>0</v>
      </c>
      <c r="H119" s="111"/>
      <c r="I119" s="32">
        <f t="shared" si="19"/>
        <v>0</v>
      </c>
      <c r="J119" s="110">
        <f>J120+J121+J122</f>
        <v>0</v>
      </c>
      <c r="K119" s="111"/>
      <c r="L119" s="32">
        <f t="shared" si="20"/>
        <v>0</v>
      </c>
      <c r="M119" s="110">
        <f>M120+M121+M122</f>
        <v>0</v>
      </c>
      <c r="N119" s="111"/>
      <c r="O119" s="32">
        <f t="shared" si="21"/>
        <v>0</v>
      </c>
      <c r="P119" s="32">
        <f t="shared" si="22"/>
        <v>0</v>
      </c>
      <c r="Q119" s="106"/>
      <c r="R119" s="106"/>
      <c r="S119" s="107"/>
      <c r="IP119" s="100"/>
      <c r="IQ119" s="100"/>
      <c r="IR119" s="100"/>
      <c r="IS119" s="100"/>
      <c r="IT119" s="100"/>
    </row>
    <row r="120" spans="1:254" s="99" customFormat="1" ht="16.5" customHeight="1">
      <c r="A120" s="46" t="s">
        <v>34</v>
      </c>
      <c r="B120" s="112"/>
      <c r="C120" s="44">
        <f t="shared" si="17"/>
        <v>0</v>
      </c>
      <c r="D120" s="95">
        <v>0</v>
      </c>
      <c r="E120" s="96"/>
      <c r="F120" s="32">
        <f t="shared" si="18"/>
        <v>0</v>
      </c>
      <c r="G120" s="95">
        <v>0</v>
      </c>
      <c r="H120" s="96"/>
      <c r="I120" s="32">
        <f t="shared" si="19"/>
        <v>0</v>
      </c>
      <c r="J120" s="95">
        <v>0</v>
      </c>
      <c r="K120" s="96"/>
      <c r="L120" s="32">
        <f t="shared" si="20"/>
        <v>0</v>
      </c>
      <c r="M120" s="95">
        <v>0</v>
      </c>
      <c r="N120" s="96"/>
      <c r="O120" s="32">
        <f t="shared" si="21"/>
        <v>0</v>
      </c>
      <c r="P120" s="32">
        <f t="shared" si="22"/>
        <v>0</v>
      </c>
      <c r="Q120" s="106"/>
      <c r="R120" s="106"/>
      <c r="S120" s="107"/>
      <c r="IP120" s="100"/>
      <c r="IQ120" s="100"/>
      <c r="IR120" s="100"/>
      <c r="IS120" s="100"/>
      <c r="IT120" s="100"/>
    </row>
    <row r="121" spans="1:254" s="99" customFormat="1" ht="16.5" customHeight="1">
      <c r="A121" s="41" t="s">
        <v>35</v>
      </c>
      <c r="B121" s="113"/>
      <c r="C121" s="44">
        <f t="shared" si="17"/>
        <v>0</v>
      </c>
      <c r="D121" s="95">
        <v>0</v>
      </c>
      <c r="E121" s="96"/>
      <c r="F121" s="32">
        <f t="shared" si="18"/>
        <v>0</v>
      </c>
      <c r="G121" s="95">
        <v>0</v>
      </c>
      <c r="H121" s="96"/>
      <c r="I121" s="32">
        <f t="shared" si="19"/>
        <v>0</v>
      </c>
      <c r="J121" s="95">
        <v>0</v>
      </c>
      <c r="K121" s="96"/>
      <c r="L121" s="32">
        <f t="shared" si="20"/>
        <v>0</v>
      </c>
      <c r="M121" s="95">
        <v>0</v>
      </c>
      <c r="N121" s="96"/>
      <c r="O121" s="32">
        <f t="shared" si="21"/>
        <v>0</v>
      </c>
      <c r="P121" s="32">
        <f t="shared" si="22"/>
        <v>0</v>
      </c>
      <c r="Q121" s="106"/>
      <c r="R121" s="106"/>
      <c r="S121" s="107"/>
      <c r="IP121" s="100"/>
      <c r="IQ121" s="100"/>
      <c r="IR121" s="100"/>
      <c r="IS121" s="100"/>
      <c r="IT121" s="100"/>
    </row>
    <row r="122" spans="1:254" s="99" customFormat="1" ht="16.5" customHeight="1">
      <c r="A122" s="41" t="s">
        <v>36</v>
      </c>
      <c r="B122" s="113"/>
      <c r="C122" s="44">
        <f t="shared" si="17"/>
        <v>0</v>
      </c>
      <c r="D122" s="95">
        <v>0</v>
      </c>
      <c r="E122" s="96"/>
      <c r="F122" s="32">
        <f t="shared" si="18"/>
        <v>0</v>
      </c>
      <c r="G122" s="95">
        <v>0</v>
      </c>
      <c r="H122" s="96"/>
      <c r="I122" s="32">
        <f t="shared" si="19"/>
        <v>0</v>
      </c>
      <c r="J122" s="95">
        <v>0</v>
      </c>
      <c r="K122" s="96"/>
      <c r="L122" s="32">
        <f t="shared" si="20"/>
        <v>0</v>
      </c>
      <c r="M122" s="95">
        <v>0</v>
      </c>
      <c r="N122" s="96"/>
      <c r="O122" s="32">
        <f t="shared" si="21"/>
        <v>0</v>
      </c>
      <c r="P122" s="32">
        <f t="shared" si="22"/>
        <v>0</v>
      </c>
      <c r="Q122" s="106"/>
      <c r="R122" s="106"/>
      <c r="S122" s="107"/>
      <c r="IP122" s="100"/>
      <c r="IQ122" s="100"/>
      <c r="IR122" s="100"/>
      <c r="IS122" s="100"/>
      <c r="IT122" s="100"/>
    </row>
    <row r="123" spans="1:254" s="99" customFormat="1" ht="16.5" customHeight="1" hidden="1">
      <c r="A123" s="52"/>
      <c r="B123" s="114"/>
      <c r="C123" s="44">
        <f t="shared" si="17"/>
        <v>0</v>
      </c>
      <c r="D123" s="95"/>
      <c r="E123" s="96"/>
      <c r="F123" s="32">
        <f t="shared" si="18"/>
        <v>0</v>
      </c>
      <c r="G123" s="95"/>
      <c r="H123" s="96"/>
      <c r="I123" s="32">
        <f t="shared" si="19"/>
        <v>0</v>
      </c>
      <c r="J123" s="95"/>
      <c r="K123" s="96"/>
      <c r="L123" s="32">
        <f t="shared" si="20"/>
        <v>0</v>
      </c>
      <c r="M123" s="95"/>
      <c r="N123" s="96"/>
      <c r="O123" s="32">
        <f t="shared" si="21"/>
        <v>0</v>
      </c>
      <c r="P123" s="32">
        <f t="shared" si="22"/>
        <v>0</v>
      </c>
      <c r="Q123" s="106"/>
      <c r="R123" s="106"/>
      <c r="S123" s="107"/>
      <c r="IP123" s="100"/>
      <c r="IQ123" s="100"/>
      <c r="IR123" s="100"/>
      <c r="IS123" s="100"/>
      <c r="IT123" s="100"/>
    </row>
    <row r="124" spans="1:254" s="99" customFormat="1" ht="16.5" customHeight="1" hidden="1">
      <c r="A124" s="52"/>
      <c r="B124" s="97"/>
      <c r="C124" s="44">
        <f t="shared" si="17"/>
        <v>0</v>
      </c>
      <c r="D124" s="110">
        <f>D125+D126+D127+D128</f>
        <v>0</v>
      </c>
      <c r="E124" s="111"/>
      <c r="F124" s="32">
        <f t="shared" si="18"/>
        <v>0</v>
      </c>
      <c r="G124" s="110">
        <f>G125+G126+G127+G128</f>
        <v>0</v>
      </c>
      <c r="H124" s="111"/>
      <c r="I124" s="32">
        <f t="shared" si="19"/>
        <v>0</v>
      </c>
      <c r="J124" s="110">
        <f>J125+J126+J127+J128</f>
        <v>0</v>
      </c>
      <c r="K124" s="111"/>
      <c r="L124" s="32">
        <f t="shared" si="20"/>
        <v>0</v>
      </c>
      <c r="M124" s="110">
        <f>M125+M126+M127+M128</f>
        <v>0</v>
      </c>
      <c r="N124" s="111"/>
      <c r="O124" s="32">
        <f t="shared" si="21"/>
        <v>0</v>
      </c>
      <c r="P124" s="32">
        <f t="shared" si="22"/>
        <v>0</v>
      </c>
      <c r="Q124" s="106"/>
      <c r="R124" s="106"/>
      <c r="S124" s="107"/>
      <c r="IP124" s="100"/>
      <c r="IQ124" s="100"/>
      <c r="IR124" s="100"/>
      <c r="IS124" s="100"/>
      <c r="IT124" s="100"/>
    </row>
    <row r="125" spans="1:254" s="99" customFormat="1" ht="16.5" customHeight="1" hidden="1">
      <c r="A125" s="52" t="s">
        <v>37</v>
      </c>
      <c r="B125" s="97"/>
      <c r="C125" s="44">
        <f t="shared" si="17"/>
        <v>0</v>
      </c>
      <c r="D125" s="95">
        <v>0</v>
      </c>
      <c r="E125" s="96"/>
      <c r="F125" s="32">
        <f t="shared" si="18"/>
        <v>0</v>
      </c>
      <c r="G125" s="95">
        <v>0</v>
      </c>
      <c r="H125" s="96"/>
      <c r="I125" s="32">
        <f t="shared" si="19"/>
        <v>0</v>
      </c>
      <c r="J125" s="95">
        <v>0</v>
      </c>
      <c r="K125" s="96"/>
      <c r="L125" s="32">
        <f t="shared" si="20"/>
        <v>0</v>
      </c>
      <c r="M125" s="95">
        <v>0</v>
      </c>
      <c r="N125" s="96"/>
      <c r="O125" s="32">
        <f t="shared" si="21"/>
        <v>0</v>
      </c>
      <c r="P125" s="32">
        <f t="shared" si="22"/>
        <v>0</v>
      </c>
      <c r="Q125" s="106"/>
      <c r="R125" s="106"/>
      <c r="S125" s="107"/>
      <c r="IP125" s="100"/>
      <c r="IQ125" s="100"/>
      <c r="IR125" s="100"/>
      <c r="IS125" s="100"/>
      <c r="IT125" s="100"/>
    </row>
    <row r="126" spans="1:254" s="99" customFormat="1" ht="16.5" customHeight="1" hidden="1">
      <c r="A126" s="52" t="s">
        <v>38</v>
      </c>
      <c r="B126" s="97"/>
      <c r="C126" s="44">
        <f t="shared" si="17"/>
        <v>0</v>
      </c>
      <c r="D126" s="95">
        <v>0</v>
      </c>
      <c r="E126" s="96"/>
      <c r="F126" s="32">
        <f t="shared" si="18"/>
        <v>0</v>
      </c>
      <c r="G126" s="95">
        <v>0</v>
      </c>
      <c r="H126" s="96"/>
      <c r="I126" s="32">
        <f t="shared" si="19"/>
        <v>0</v>
      </c>
      <c r="J126" s="95">
        <v>0</v>
      </c>
      <c r="K126" s="96"/>
      <c r="L126" s="32">
        <f t="shared" si="20"/>
        <v>0</v>
      </c>
      <c r="M126" s="95">
        <v>0</v>
      </c>
      <c r="N126" s="96"/>
      <c r="O126" s="32">
        <f t="shared" si="21"/>
        <v>0</v>
      </c>
      <c r="P126" s="32">
        <f t="shared" si="22"/>
        <v>0</v>
      </c>
      <c r="Q126" s="106"/>
      <c r="R126" s="106"/>
      <c r="S126" s="107"/>
      <c r="IP126" s="100"/>
      <c r="IQ126" s="100"/>
      <c r="IR126" s="100"/>
      <c r="IS126" s="100"/>
      <c r="IT126" s="100"/>
    </row>
    <row r="127" spans="1:254" s="99" customFormat="1" ht="16.5" customHeight="1" hidden="1">
      <c r="A127" s="52" t="s">
        <v>39</v>
      </c>
      <c r="B127" s="97"/>
      <c r="C127" s="44">
        <f t="shared" si="17"/>
        <v>0</v>
      </c>
      <c r="D127" s="95">
        <v>0</v>
      </c>
      <c r="E127" s="96"/>
      <c r="F127" s="32">
        <f t="shared" si="18"/>
        <v>0</v>
      </c>
      <c r="G127" s="95">
        <v>0</v>
      </c>
      <c r="H127" s="96"/>
      <c r="I127" s="32">
        <f t="shared" si="19"/>
        <v>0</v>
      </c>
      <c r="J127" s="95">
        <v>0</v>
      </c>
      <c r="K127" s="96"/>
      <c r="L127" s="32">
        <f t="shared" si="20"/>
        <v>0</v>
      </c>
      <c r="M127" s="95">
        <v>0</v>
      </c>
      <c r="N127" s="96"/>
      <c r="O127" s="32">
        <f t="shared" si="21"/>
        <v>0</v>
      </c>
      <c r="P127" s="32">
        <f t="shared" si="22"/>
        <v>0</v>
      </c>
      <c r="Q127" s="106"/>
      <c r="R127" s="106"/>
      <c r="S127" s="107"/>
      <c r="IP127" s="100"/>
      <c r="IQ127" s="100"/>
      <c r="IR127" s="100"/>
      <c r="IS127" s="100"/>
      <c r="IT127" s="100"/>
    </row>
    <row r="128" spans="1:254" s="99" customFormat="1" ht="29.25" customHeight="1" hidden="1">
      <c r="A128" s="52" t="s">
        <v>40</v>
      </c>
      <c r="B128" s="97"/>
      <c r="C128" s="44">
        <f t="shared" si="17"/>
        <v>0</v>
      </c>
      <c r="D128" s="95">
        <v>0</v>
      </c>
      <c r="E128" s="96"/>
      <c r="F128" s="32">
        <f t="shared" si="18"/>
        <v>0</v>
      </c>
      <c r="G128" s="95">
        <v>0</v>
      </c>
      <c r="H128" s="96"/>
      <c r="I128" s="32">
        <f t="shared" si="19"/>
        <v>0</v>
      </c>
      <c r="J128" s="95">
        <v>0</v>
      </c>
      <c r="K128" s="96"/>
      <c r="L128" s="32">
        <f t="shared" si="20"/>
        <v>0</v>
      </c>
      <c r="M128" s="95">
        <v>0</v>
      </c>
      <c r="N128" s="96"/>
      <c r="O128" s="32">
        <f t="shared" si="21"/>
        <v>0</v>
      </c>
      <c r="P128" s="32">
        <f t="shared" si="22"/>
        <v>0</v>
      </c>
      <c r="Q128" s="106"/>
      <c r="R128" s="106"/>
      <c r="S128" s="107"/>
      <c r="IP128" s="100"/>
      <c r="IQ128" s="100"/>
      <c r="IR128" s="100"/>
      <c r="IS128" s="100"/>
      <c r="IT128" s="100"/>
    </row>
    <row r="129" spans="1:254" s="80" customFormat="1" ht="31.5" customHeight="1">
      <c r="A129" s="115" t="s">
        <v>52</v>
      </c>
      <c r="B129" s="25" t="s">
        <v>54</v>
      </c>
      <c r="C129" s="44">
        <f t="shared" si="17"/>
        <v>40421</v>
      </c>
      <c r="D129" s="44">
        <f>SUM(D130:D132)</f>
        <v>420</v>
      </c>
      <c r="E129" s="45"/>
      <c r="F129" s="32">
        <f t="shared" si="18"/>
        <v>420</v>
      </c>
      <c r="G129" s="44">
        <f>SUM(G130:G132)</f>
        <v>40001</v>
      </c>
      <c r="H129" s="45"/>
      <c r="I129" s="32">
        <f t="shared" si="19"/>
        <v>40001</v>
      </c>
      <c r="J129" s="44">
        <f>SUM(J130:J132)</f>
        <v>0</v>
      </c>
      <c r="K129" s="45"/>
      <c r="L129" s="32">
        <f t="shared" si="20"/>
        <v>0</v>
      </c>
      <c r="M129" s="44">
        <f>SUM(M130:M132)</f>
        <v>0</v>
      </c>
      <c r="N129" s="45"/>
      <c r="O129" s="32">
        <f t="shared" si="21"/>
        <v>0</v>
      </c>
      <c r="P129" s="32">
        <f t="shared" si="22"/>
        <v>40421</v>
      </c>
      <c r="Q129" s="89"/>
      <c r="R129" s="89"/>
      <c r="IP129" s="81"/>
      <c r="IQ129" s="81"/>
      <c r="IR129" s="81"/>
      <c r="IS129" s="81"/>
      <c r="IT129" s="81"/>
    </row>
    <row r="130" spans="1:254" s="80" customFormat="1" ht="16.5" customHeight="1">
      <c r="A130" s="46" t="s">
        <v>34</v>
      </c>
      <c r="B130" s="82"/>
      <c r="C130" s="48">
        <f t="shared" si="17"/>
        <v>0</v>
      </c>
      <c r="D130" s="83">
        <v>0</v>
      </c>
      <c r="E130" s="84"/>
      <c r="F130" s="32">
        <f t="shared" si="18"/>
        <v>0</v>
      </c>
      <c r="G130" s="83">
        <v>0</v>
      </c>
      <c r="H130" s="84"/>
      <c r="I130" s="32">
        <f t="shared" si="19"/>
        <v>0</v>
      </c>
      <c r="J130" s="83">
        <v>0</v>
      </c>
      <c r="K130" s="84"/>
      <c r="L130" s="32">
        <f t="shared" si="20"/>
        <v>0</v>
      </c>
      <c r="M130" s="83">
        <v>0</v>
      </c>
      <c r="N130" s="84"/>
      <c r="O130" s="32">
        <f t="shared" si="21"/>
        <v>0</v>
      </c>
      <c r="P130" s="32">
        <f t="shared" si="22"/>
        <v>0</v>
      </c>
      <c r="Q130" s="89"/>
      <c r="R130" s="89"/>
      <c r="IP130" s="81"/>
      <c r="IQ130" s="81"/>
      <c r="IR130" s="81"/>
      <c r="IS130" s="81"/>
      <c r="IT130" s="81"/>
    </row>
    <row r="131" spans="1:254" s="80" customFormat="1" ht="16.5" customHeight="1">
      <c r="A131" s="41" t="s">
        <v>35</v>
      </c>
      <c r="B131" s="86"/>
      <c r="C131" s="48">
        <f t="shared" si="17"/>
        <v>40421</v>
      </c>
      <c r="D131" s="83">
        <v>420</v>
      </c>
      <c r="E131" s="84"/>
      <c r="F131" s="32">
        <f t="shared" si="18"/>
        <v>420</v>
      </c>
      <c r="G131" s="83">
        <v>40001</v>
      </c>
      <c r="H131" s="84"/>
      <c r="I131" s="32">
        <f t="shared" si="19"/>
        <v>40001</v>
      </c>
      <c r="J131" s="83">
        <v>0</v>
      </c>
      <c r="K131" s="84"/>
      <c r="L131" s="32">
        <f t="shared" si="20"/>
        <v>0</v>
      </c>
      <c r="M131" s="83">
        <v>0</v>
      </c>
      <c r="N131" s="84"/>
      <c r="O131" s="32">
        <f t="shared" si="21"/>
        <v>0</v>
      </c>
      <c r="P131" s="32">
        <f t="shared" si="22"/>
        <v>40421</v>
      </c>
      <c r="Q131" s="89"/>
      <c r="R131" s="89"/>
      <c r="IP131" s="81"/>
      <c r="IQ131" s="81"/>
      <c r="IR131" s="81"/>
      <c r="IS131" s="81"/>
      <c r="IT131" s="81"/>
    </row>
    <row r="132" spans="1:254" s="80" customFormat="1" ht="16.5" customHeight="1">
      <c r="A132" s="41" t="s">
        <v>36</v>
      </c>
      <c r="B132" s="86"/>
      <c r="C132" s="48">
        <f t="shared" si="17"/>
        <v>0</v>
      </c>
      <c r="D132" s="83">
        <v>0</v>
      </c>
      <c r="E132" s="84"/>
      <c r="F132" s="32">
        <f t="shared" si="18"/>
        <v>0</v>
      </c>
      <c r="G132" s="83">
        <v>0</v>
      </c>
      <c r="H132" s="84"/>
      <c r="I132" s="32">
        <f t="shared" si="19"/>
        <v>0</v>
      </c>
      <c r="J132" s="83">
        <v>0</v>
      </c>
      <c r="K132" s="84"/>
      <c r="L132" s="32">
        <f t="shared" si="20"/>
        <v>0</v>
      </c>
      <c r="M132" s="83">
        <v>0</v>
      </c>
      <c r="N132" s="84"/>
      <c r="O132" s="32">
        <f t="shared" si="21"/>
        <v>0</v>
      </c>
      <c r="P132" s="32">
        <f t="shared" si="22"/>
        <v>0</v>
      </c>
      <c r="Q132" s="89"/>
      <c r="R132" s="89"/>
      <c r="IP132" s="81"/>
      <c r="IQ132" s="81"/>
      <c r="IR132" s="81"/>
      <c r="IS132" s="81"/>
      <c r="IT132" s="81"/>
    </row>
    <row r="133" spans="1:254" s="80" customFormat="1" ht="20.25" customHeight="1" hidden="1">
      <c r="A133" s="41"/>
      <c r="B133" s="87"/>
      <c r="C133" s="48">
        <f t="shared" si="17"/>
        <v>0</v>
      </c>
      <c r="D133" s="83"/>
      <c r="E133" s="84"/>
      <c r="F133" s="32">
        <f t="shared" si="18"/>
        <v>0</v>
      </c>
      <c r="G133" s="83"/>
      <c r="H133" s="84"/>
      <c r="I133" s="32">
        <f t="shared" si="19"/>
        <v>0</v>
      </c>
      <c r="J133" s="83"/>
      <c r="K133" s="84"/>
      <c r="L133" s="32">
        <f t="shared" si="20"/>
        <v>0</v>
      </c>
      <c r="M133" s="83"/>
      <c r="N133" s="84"/>
      <c r="O133" s="32">
        <f t="shared" si="21"/>
        <v>0</v>
      </c>
      <c r="P133" s="32">
        <f t="shared" si="22"/>
        <v>0</v>
      </c>
      <c r="Q133" s="89"/>
      <c r="R133" s="89"/>
      <c r="IP133" s="81"/>
      <c r="IQ133" s="81"/>
      <c r="IR133" s="81"/>
      <c r="IS133" s="81"/>
      <c r="IT133" s="81"/>
    </row>
    <row r="134" spans="1:254" s="93" customFormat="1" ht="16.5" customHeight="1" hidden="1">
      <c r="A134" s="42"/>
      <c r="B134" s="31"/>
      <c r="C134" s="48">
        <f t="shared" si="17"/>
        <v>40421</v>
      </c>
      <c r="D134" s="116">
        <f>D135+D136+D137+D138</f>
        <v>420</v>
      </c>
      <c r="E134" s="117"/>
      <c r="F134" s="32">
        <f t="shared" si="18"/>
        <v>420</v>
      </c>
      <c r="G134" s="116">
        <f>G135+G136+G137+G138</f>
        <v>40001</v>
      </c>
      <c r="H134" s="117"/>
      <c r="I134" s="32">
        <f t="shared" si="19"/>
        <v>40001</v>
      </c>
      <c r="J134" s="116">
        <f>J135+J136+J137+J138</f>
        <v>0</v>
      </c>
      <c r="K134" s="117"/>
      <c r="L134" s="32">
        <f t="shared" si="20"/>
        <v>0</v>
      </c>
      <c r="M134" s="116">
        <f>M135+M136+M137+M138</f>
        <v>0</v>
      </c>
      <c r="N134" s="117"/>
      <c r="O134" s="32">
        <f t="shared" si="21"/>
        <v>0</v>
      </c>
      <c r="P134" s="32">
        <f t="shared" si="22"/>
        <v>40421</v>
      </c>
      <c r="Q134" s="92"/>
      <c r="R134" s="92"/>
      <c r="IP134" s="94"/>
      <c r="IQ134" s="94"/>
      <c r="IR134" s="94"/>
      <c r="IS134" s="94"/>
      <c r="IT134" s="94"/>
    </row>
    <row r="135" spans="1:254" s="80" customFormat="1" ht="16.5" customHeight="1" hidden="1">
      <c r="A135" s="41" t="s">
        <v>37</v>
      </c>
      <c r="B135" s="88"/>
      <c r="C135" s="48">
        <f t="shared" si="17"/>
        <v>0</v>
      </c>
      <c r="D135" s="83">
        <v>0</v>
      </c>
      <c r="E135" s="84"/>
      <c r="F135" s="32">
        <f t="shared" si="18"/>
        <v>0</v>
      </c>
      <c r="G135" s="83">
        <v>0</v>
      </c>
      <c r="H135" s="84"/>
      <c r="I135" s="32">
        <f t="shared" si="19"/>
        <v>0</v>
      </c>
      <c r="J135" s="83">
        <v>0</v>
      </c>
      <c r="K135" s="84"/>
      <c r="L135" s="32">
        <f t="shared" si="20"/>
        <v>0</v>
      </c>
      <c r="M135" s="83">
        <v>0</v>
      </c>
      <c r="N135" s="84"/>
      <c r="O135" s="32">
        <f t="shared" si="21"/>
        <v>0</v>
      </c>
      <c r="P135" s="32">
        <f t="shared" si="22"/>
        <v>0</v>
      </c>
      <c r="Q135" s="89"/>
      <c r="R135" s="89"/>
      <c r="IP135" s="81"/>
      <c r="IQ135" s="81"/>
      <c r="IR135" s="81"/>
      <c r="IS135" s="81"/>
      <c r="IT135" s="81"/>
    </row>
    <row r="136" spans="1:254" s="80" customFormat="1" ht="16.5" customHeight="1" hidden="1">
      <c r="A136" s="41" t="s">
        <v>38</v>
      </c>
      <c r="B136" s="88"/>
      <c r="C136" s="48">
        <f t="shared" si="17"/>
        <v>40421</v>
      </c>
      <c r="D136" s="83">
        <v>420</v>
      </c>
      <c r="E136" s="84"/>
      <c r="F136" s="32">
        <f t="shared" si="18"/>
        <v>420</v>
      </c>
      <c r="G136" s="83">
        <v>40001</v>
      </c>
      <c r="H136" s="84"/>
      <c r="I136" s="32">
        <f t="shared" si="19"/>
        <v>40001</v>
      </c>
      <c r="J136" s="83"/>
      <c r="K136" s="84"/>
      <c r="L136" s="32">
        <f t="shared" si="20"/>
        <v>0</v>
      </c>
      <c r="M136" s="83"/>
      <c r="N136" s="84"/>
      <c r="O136" s="32">
        <f t="shared" si="21"/>
        <v>0</v>
      </c>
      <c r="P136" s="32">
        <f t="shared" si="22"/>
        <v>40421</v>
      </c>
      <c r="Q136" s="89"/>
      <c r="R136" s="89"/>
      <c r="IP136" s="81"/>
      <c r="IQ136" s="81"/>
      <c r="IR136" s="81"/>
      <c r="IS136" s="81"/>
      <c r="IT136" s="81"/>
    </row>
    <row r="137" spans="1:254" s="80" customFormat="1" ht="16.5" customHeight="1" hidden="1">
      <c r="A137" s="41" t="s">
        <v>39</v>
      </c>
      <c r="B137" s="88"/>
      <c r="C137" s="48">
        <f t="shared" si="17"/>
        <v>0</v>
      </c>
      <c r="D137" s="83">
        <v>0</v>
      </c>
      <c r="E137" s="84"/>
      <c r="F137" s="32">
        <f t="shared" si="18"/>
        <v>0</v>
      </c>
      <c r="G137" s="83">
        <v>0</v>
      </c>
      <c r="H137" s="84"/>
      <c r="I137" s="32">
        <f t="shared" si="19"/>
        <v>0</v>
      </c>
      <c r="J137" s="83">
        <v>0</v>
      </c>
      <c r="K137" s="84"/>
      <c r="L137" s="32">
        <f t="shared" si="20"/>
        <v>0</v>
      </c>
      <c r="M137" s="83">
        <v>0</v>
      </c>
      <c r="N137" s="84"/>
      <c r="O137" s="32">
        <f t="shared" si="21"/>
        <v>0</v>
      </c>
      <c r="P137" s="32">
        <f t="shared" si="22"/>
        <v>0</v>
      </c>
      <c r="Q137" s="89"/>
      <c r="R137" s="89"/>
      <c r="IP137" s="81"/>
      <c r="IQ137" s="81"/>
      <c r="IR137" s="81"/>
      <c r="IS137" s="81"/>
      <c r="IT137" s="81"/>
    </row>
    <row r="138" spans="1:254" s="99" customFormat="1" ht="30" hidden="1">
      <c r="A138" s="52" t="s">
        <v>40</v>
      </c>
      <c r="B138" s="97"/>
      <c r="C138" s="48">
        <f t="shared" si="17"/>
        <v>0</v>
      </c>
      <c r="D138" s="83">
        <v>0</v>
      </c>
      <c r="E138" s="84"/>
      <c r="F138" s="32">
        <f t="shared" si="18"/>
        <v>0</v>
      </c>
      <c r="G138" s="83">
        <v>0</v>
      </c>
      <c r="H138" s="84"/>
      <c r="I138" s="32">
        <f t="shared" si="19"/>
        <v>0</v>
      </c>
      <c r="J138" s="83">
        <v>0</v>
      </c>
      <c r="K138" s="84"/>
      <c r="L138" s="32">
        <f t="shared" si="20"/>
        <v>0</v>
      </c>
      <c r="M138" s="83">
        <v>0</v>
      </c>
      <c r="N138" s="84"/>
      <c r="O138" s="32">
        <f t="shared" si="21"/>
        <v>0</v>
      </c>
      <c r="P138" s="32">
        <f t="shared" si="22"/>
        <v>0</v>
      </c>
      <c r="Q138" s="98"/>
      <c r="R138" s="98"/>
      <c r="IP138" s="100"/>
      <c r="IQ138" s="100"/>
      <c r="IR138" s="100"/>
      <c r="IS138" s="100"/>
      <c r="IT138" s="100"/>
    </row>
    <row r="139" spans="1:254" s="80" customFormat="1" ht="31.5" customHeight="1">
      <c r="A139" s="78" t="s">
        <v>55</v>
      </c>
      <c r="B139" s="25" t="s">
        <v>56</v>
      </c>
      <c r="C139" s="44">
        <f t="shared" si="17"/>
        <v>11753</v>
      </c>
      <c r="D139" s="44">
        <f>SUM(D140:D142)</f>
        <v>26</v>
      </c>
      <c r="E139" s="45"/>
      <c r="F139" s="32">
        <f t="shared" si="18"/>
        <v>26</v>
      </c>
      <c r="G139" s="44">
        <f>SUM(G140:G142)</f>
        <v>6743</v>
      </c>
      <c r="H139" s="45"/>
      <c r="I139" s="32">
        <f t="shared" si="19"/>
        <v>6743</v>
      </c>
      <c r="J139" s="44">
        <f>SUM(J140:J142)</f>
        <v>2827</v>
      </c>
      <c r="K139" s="45"/>
      <c r="L139" s="32">
        <f t="shared" si="20"/>
        <v>2827</v>
      </c>
      <c r="M139" s="44">
        <f>SUM(M140:M142)</f>
        <v>2157</v>
      </c>
      <c r="N139" s="45"/>
      <c r="O139" s="32">
        <f t="shared" si="21"/>
        <v>2157</v>
      </c>
      <c r="P139" s="32">
        <f t="shared" si="22"/>
        <v>11753</v>
      </c>
      <c r="Q139" s="89"/>
      <c r="R139" s="89"/>
      <c r="IP139" s="81"/>
      <c r="IQ139" s="81"/>
      <c r="IR139" s="81"/>
      <c r="IS139" s="81"/>
      <c r="IT139" s="81"/>
    </row>
    <row r="140" spans="1:254" s="80" customFormat="1" ht="16.5" customHeight="1">
      <c r="A140" s="46" t="s">
        <v>34</v>
      </c>
      <c r="B140" s="82"/>
      <c r="C140" s="83">
        <f t="shared" si="17"/>
        <v>1695</v>
      </c>
      <c r="D140" s="83">
        <f>693-689</f>
        <v>4</v>
      </c>
      <c r="E140" s="84"/>
      <c r="F140" s="32">
        <f t="shared" si="18"/>
        <v>4</v>
      </c>
      <c r="G140" s="83">
        <f>300+689</f>
        <v>989</v>
      </c>
      <c r="H140" s="84"/>
      <c r="I140" s="32">
        <f t="shared" si="19"/>
        <v>989</v>
      </c>
      <c r="J140" s="83">
        <v>402</v>
      </c>
      <c r="K140" s="84"/>
      <c r="L140" s="32">
        <f t="shared" si="20"/>
        <v>402</v>
      </c>
      <c r="M140" s="83">
        <v>300</v>
      </c>
      <c r="N140" s="84"/>
      <c r="O140" s="32">
        <f t="shared" si="21"/>
        <v>300</v>
      </c>
      <c r="P140" s="32">
        <f t="shared" si="22"/>
        <v>1695</v>
      </c>
      <c r="Q140" s="89"/>
      <c r="R140" s="89"/>
      <c r="IP140" s="81"/>
      <c r="IQ140" s="81"/>
      <c r="IR140" s="81"/>
      <c r="IS140" s="81"/>
      <c r="IT140" s="81"/>
    </row>
    <row r="141" spans="1:254" s="80" customFormat="1" ht="16.5" customHeight="1">
      <c r="A141" s="41" t="s">
        <v>35</v>
      </c>
      <c r="B141" s="86"/>
      <c r="C141" s="83">
        <f t="shared" si="17"/>
        <v>9601</v>
      </c>
      <c r="D141" s="83">
        <f>3926-3904</f>
        <v>22</v>
      </c>
      <c r="E141" s="84"/>
      <c r="F141" s="32">
        <f t="shared" si="18"/>
        <v>22</v>
      </c>
      <c r="G141" s="83">
        <f>1700+3904</f>
        <v>5604</v>
      </c>
      <c r="H141" s="84"/>
      <c r="I141" s="32">
        <f t="shared" si="19"/>
        <v>5604</v>
      </c>
      <c r="J141" s="83">
        <v>2275</v>
      </c>
      <c r="K141" s="84"/>
      <c r="L141" s="32">
        <f t="shared" si="20"/>
        <v>2275</v>
      </c>
      <c r="M141" s="83">
        <v>1700</v>
      </c>
      <c r="N141" s="84"/>
      <c r="O141" s="32">
        <f t="shared" si="21"/>
        <v>1700</v>
      </c>
      <c r="P141" s="32">
        <f t="shared" si="22"/>
        <v>9601</v>
      </c>
      <c r="Q141" s="89"/>
      <c r="R141" s="89"/>
      <c r="IP141" s="81"/>
      <c r="IQ141" s="81"/>
      <c r="IR141" s="81"/>
      <c r="IS141" s="81"/>
      <c r="IT141" s="81"/>
    </row>
    <row r="142" spans="1:254" s="80" customFormat="1" ht="16.5" customHeight="1">
      <c r="A142" s="41" t="s">
        <v>36</v>
      </c>
      <c r="B142" s="87"/>
      <c r="C142" s="83">
        <f t="shared" si="17"/>
        <v>457</v>
      </c>
      <c r="D142" s="83">
        <v>0</v>
      </c>
      <c r="E142" s="84"/>
      <c r="F142" s="32">
        <f t="shared" si="18"/>
        <v>0</v>
      </c>
      <c r="G142" s="83">
        <v>150</v>
      </c>
      <c r="H142" s="84"/>
      <c r="I142" s="32">
        <f t="shared" si="19"/>
        <v>150</v>
      </c>
      <c r="J142" s="83">
        <v>150</v>
      </c>
      <c r="K142" s="84"/>
      <c r="L142" s="32">
        <f t="shared" si="20"/>
        <v>150</v>
      </c>
      <c r="M142" s="83">
        <v>157</v>
      </c>
      <c r="N142" s="84"/>
      <c r="O142" s="32">
        <f t="shared" si="21"/>
        <v>157</v>
      </c>
      <c r="P142" s="32">
        <f t="shared" si="22"/>
        <v>457</v>
      </c>
      <c r="Q142" s="89"/>
      <c r="R142" s="89"/>
      <c r="IP142" s="81"/>
      <c r="IQ142" s="81"/>
      <c r="IR142" s="81"/>
      <c r="IS142" s="81"/>
      <c r="IT142" s="81"/>
    </row>
    <row r="143" spans="1:254" s="80" customFormat="1" ht="16.5" customHeight="1" hidden="1">
      <c r="A143" s="41"/>
      <c r="B143" s="88"/>
      <c r="C143" s="83"/>
      <c r="D143" s="83"/>
      <c r="E143" s="84"/>
      <c r="F143" s="32">
        <f t="shared" si="18"/>
        <v>0</v>
      </c>
      <c r="G143" s="83"/>
      <c r="H143" s="84"/>
      <c r="I143" s="32">
        <f t="shared" si="19"/>
        <v>0</v>
      </c>
      <c r="J143" s="83"/>
      <c r="K143" s="84"/>
      <c r="L143" s="32">
        <f t="shared" si="20"/>
        <v>0</v>
      </c>
      <c r="M143" s="83"/>
      <c r="N143" s="84"/>
      <c r="O143" s="32">
        <f t="shared" si="21"/>
        <v>0</v>
      </c>
      <c r="P143" s="32">
        <f t="shared" si="22"/>
        <v>0</v>
      </c>
      <c r="Q143" s="89"/>
      <c r="R143" s="89"/>
      <c r="IP143" s="81"/>
      <c r="IQ143" s="81"/>
      <c r="IR143" s="81"/>
      <c r="IS143" s="81"/>
      <c r="IT143" s="81"/>
    </row>
    <row r="144" spans="1:254" s="93" customFormat="1" ht="16.5" customHeight="1" hidden="1">
      <c r="A144" s="42"/>
      <c r="B144" s="31"/>
      <c r="C144" s="116">
        <f>C145+C146+C147+C148</f>
        <v>7827</v>
      </c>
      <c r="D144" s="116">
        <f>D145+D146+D147+D148</f>
        <v>693</v>
      </c>
      <c r="E144" s="117"/>
      <c r="F144" s="32">
        <f t="shared" si="18"/>
        <v>693</v>
      </c>
      <c r="G144" s="116">
        <f>G145+G146+G147+G148</f>
        <v>2150</v>
      </c>
      <c r="H144" s="117"/>
      <c r="I144" s="32">
        <f t="shared" si="19"/>
        <v>2150</v>
      </c>
      <c r="J144" s="116">
        <f>J145+J146+J147+J148</f>
        <v>2827</v>
      </c>
      <c r="K144" s="117"/>
      <c r="L144" s="32">
        <f t="shared" si="20"/>
        <v>2827</v>
      </c>
      <c r="M144" s="116">
        <f>M145+M146+M147+M148</f>
        <v>2157</v>
      </c>
      <c r="N144" s="117"/>
      <c r="O144" s="32">
        <f t="shared" si="21"/>
        <v>2157</v>
      </c>
      <c r="P144" s="32">
        <f t="shared" si="22"/>
        <v>7827</v>
      </c>
      <c r="Q144" s="92"/>
      <c r="R144" s="92"/>
      <c r="IP144" s="94"/>
      <c r="IQ144" s="94"/>
      <c r="IR144" s="94"/>
      <c r="IS144" s="94"/>
      <c r="IT144" s="94"/>
    </row>
    <row r="145" spans="1:254" s="80" customFormat="1" ht="16.5" customHeight="1" hidden="1">
      <c r="A145" s="41" t="s">
        <v>37</v>
      </c>
      <c r="B145" s="88"/>
      <c r="C145" s="83">
        <v>1468</v>
      </c>
      <c r="D145" s="83">
        <v>600</v>
      </c>
      <c r="E145" s="84"/>
      <c r="F145" s="32">
        <f t="shared" si="18"/>
        <v>600</v>
      </c>
      <c r="G145" s="83">
        <v>260</v>
      </c>
      <c r="H145" s="84"/>
      <c r="I145" s="32">
        <f t="shared" si="19"/>
        <v>260</v>
      </c>
      <c r="J145" s="83">
        <v>348</v>
      </c>
      <c r="K145" s="84"/>
      <c r="L145" s="32">
        <f t="shared" si="20"/>
        <v>348</v>
      </c>
      <c r="M145" s="83">
        <v>260</v>
      </c>
      <c r="N145" s="84"/>
      <c r="O145" s="32">
        <f t="shared" si="21"/>
        <v>260</v>
      </c>
      <c r="P145" s="32">
        <f t="shared" si="22"/>
        <v>1468</v>
      </c>
      <c r="Q145" s="89"/>
      <c r="R145" s="103"/>
      <c r="IP145" s="81"/>
      <c r="IQ145" s="81"/>
      <c r="IR145" s="81"/>
      <c r="IS145" s="81"/>
      <c r="IT145" s="81"/>
    </row>
    <row r="146" spans="1:254" s="80" customFormat="1" ht="16.5" customHeight="1" hidden="1">
      <c r="A146" s="41" t="s">
        <v>38</v>
      </c>
      <c r="B146" s="88"/>
      <c r="C146" s="83">
        <v>5675</v>
      </c>
      <c r="D146" s="83">
        <f>3926-3926</f>
        <v>0</v>
      </c>
      <c r="E146" s="84"/>
      <c r="F146" s="32">
        <f t="shared" si="18"/>
        <v>0</v>
      </c>
      <c r="G146" s="83">
        <v>1700</v>
      </c>
      <c r="H146" s="84"/>
      <c r="I146" s="32">
        <f t="shared" si="19"/>
        <v>1700</v>
      </c>
      <c r="J146" s="83">
        <v>2275</v>
      </c>
      <c r="K146" s="84"/>
      <c r="L146" s="32">
        <f t="shared" si="20"/>
        <v>2275</v>
      </c>
      <c r="M146" s="83">
        <v>1700</v>
      </c>
      <c r="N146" s="84"/>
      <c r="O146" s="32">
        <f t="shared" si="21"/>
        <v>1700</v>
      </c>
      <c r="P146" s="32">
        <f t="shared" si="22"/>
        <v>5675</v>
      </c>
      <c r="Q146" s="89"/>
      <c r="R146" s="89"/>
      <c r="IP146" s="81"/>
      <c r="IQ146" s="81"/>
      <c r="IR146" s="81"/>
      <c r="IS146" s="81"/>
      <c r="IT146" s="81"/>
    </row>
    <row r="147" spans="1:254" s="80" customFormat="1" ht="16.5" customHeight="1" hidden="1">
      <c r="A147" s="41" t="s">
        <v>39</v>
      </c>
      <c r="B147" s="88"/>
      <c r="C147" s="83">
        <f>SUM(D147:M147)</f>
        <v>0</v>
      </c>
      <c r="D147" s="83">
        <v>0</v>
      </c>
      <c r="E147" s="84"/>
      <c r="F147" s="32">
        <f t="shared" si="18"/>
        <v>0</v>
      </c>
      <c r="G147" s="83">
        <v>0</v>
      </c>
      <c r="H147" s="84"/>
      <c r="I147" s="32">
        <f t="shared" si="19"/>
        <v>0</v>
      </c>
      <c r="J147" s="83">
        <v>0</v>
      </c>
      <c r="K147" s="84"/>
      <c r="L147" s="32">
        <f t="shared" si="20"/>
        <v>0</v>
      </c>
      <c r="M147" s="83">
        <v>0</v>
      </c>
      <c r="N147" s="84"/>
      <c r="O147" s="32">
        <f t="shared" si="21"/>
        <v>0</v>
      </c>
      <c r="P147" s="32">
        <f t="shared" si="22"/>
        <v>0</v>
      </c>
      <c r="Q147" s="89"/>
      <c r="R147" s="89"/>
      <c r="IP147" s="81"/>
      <c r="IQ147" s="81"/>
      <c r="IR147" s="81"/>
      <c r="IS147" s="81"/>
      <c r="IT147" s="81"/>
    </row>
    <row r="148" spans="1:254" s="99" customFormat="1" ht="30" hidden="1">
      <c r="A148" s="52" t="s">
        <v>40</v>
      </c>
      <c r="B148" s="97"/>
      <c r="C148" s="83">
        <v>684</v>
      </c>
      <c r="D148" s="83">
        <v>93</v>
      </c>
      <c r="E148" s="84"/>
      <c r="F148" s="32">
        <f t="shared" si="18"/>
        <v>93</v>
      </c>
      <c r="G148" s="83">
        <v>190</v>
      </c>
      <c r="H148" s="84"/>
      <c r="I148" s="32">
        <f t="shared" si="19"/>
        <v>190</v>
      </c>
      <c r="J148" s="83">
        <v>204</v>
      </c>
      <c r="K148" s="84"/>
      <c r="L148" s="32">
        <f t="shared" si="20"/>
        <v>204</v>
      </c>
      <c r="M148" s="83">
        <v>197</v>
      </c>
      <c r="N148" s="84"/>
      <c r="O148" s="32">
        <f t="shared" si="21"/>
        <v>197</v>
      </c>
      <c r="P148" s="32">
        <f t="shared" si="22"/>
        <v>684</v>
      </c>
      <c r="Q148" s="98"/>
      <c r="R148" s="98"/>
      <c r="IP148" s="100"/>
      <c r="IQ148" s="100"/>
      <c r="IR148" s="100"/>
      <c r="IS148" s="100"/>
      <c r="IT148" s="100"/>
    </row>
    <row r="149" spans="1:254" s="99" customFormat="1" ht="30" customHeight="1">
      <c r="A149" s="78" t="s">
        <v>55</v>
      </c>
      <c r="B149" s="25" t="s">
        <v>57</v>
      </c>
      <c r="C149" s="44">
        <f>C150+C151+C152</f>
        <v>578</v>
      </c>
      <c r="D149" s="44">
        <f>D150+D151+D152</f>
        <v>32</v>
      </c>
      <c r="E149" s="45">
        <f>E150+E151+E152</f>
        <v>0</v>
      </c>
      <c r="F149" s="32">
        <f aca="true" t="shared" si="23" ref="F149:F166">D149+E149</f>
        <v>32</v>
      </c>
      <c r="G149" s="44">
        <f>G150+G151+G152</f>
        <v>212</v>
      </c>
      <c r="H149" s="45">
        <f>H150+H151+H152</f>
        <v>0</v>
      </c>
      <c r="I149" s="32">
        <f aca="true" t="shared" si="24" ref="I149:I166">G149+H149</f>
        <v>212</v>
      </c>
      <c r="J149" s="44">
        <f>J150+J151+J152</f>
        <v>334</v>
      </c>
      <c r="K149" s="45">
        <f>K150+K151+K152</f>
        <v>0</v>
      </c>
      <c r="L149" s="32">
        <f aca="true" t="shared" si="25" ref="L149:L166">J149+K149</f>
        <v>334</v>
      </c>
      <c r="M149" s="44">
        <f>M150+M151+M152</f>
        <v>0</v>
      </c>
      <c r="N149" s="45"/>
      <c r="O149" s="32">
        <f aca="true" t="shared" si="26" ref="O149:O166">M149+N149</f>
        <v>0</v>
      </c>
      <c r="P149" s="32">
        <f aca="true" t="shared" si="27" ref="P149:P162">F149+I149+L149+O149</f>
        <v>578</v>
      </c>
      <c r="Q149" s="98"/>
      <c r="R149" s="98"/>
      <c r="IP149" s="100"/>
      <c r="IQ149" s="100"/>
      <c r="IR149" s="100"/>
      <c r="IS149" s="100"/>
      <c r="IT149" s="100"/>
    </row>
    <row r="150" spans="1:254" s="99" customFormat="1" ht="16.5" customHeight="1">
      <c r="A150" s="46" t="s">
        <v>58</v>
      </c>
      <c r="B150" s="47"/>
      <c r="C150" s="83">
        <f>F150+I150+L150+O150</f>
        <v>486</v>
      </c>
      <c r="D150" s="83">
        <v>27</v>
      </c>
      <c r="E150" s="84"/>
      <c r="F150" s="32">
        <f t="shared" si="23"/>
        <v>27</v>
      </c>
      <c r="G150" s="83">
        <v>178</v>
      </c>
      <c r="H150" s="84"/>
      <c r="I150" s="32">
        <f t="shared" si="24"/>
        <v>178</v>
      </c>
      <c r="J150" s="83">
        <v>281</v>
      </c>
      <c r="K150" s="84"/>
      <c r="L150" s="32">
        <f t="shared" si="25"/>
        <v>281</v>
      </c>
      <c r="M150" s="83"/>
      <c r="N150" s="84"/>
      <c r="O150" s="32">
        <f t="shared" si="26"/>
        <v>0</v>
      </c>
      <c r="P150" s="32">
        <f t="shared" si="27"/>
        <v>486</v>
      </c>
      <c r="Q150" s="98"/>
      <c r="R150" s="98"/>
      <c r="IP150" s="100"/>
      <c r="IQ150" s="100"/>
      <c r="IR150" s="100"/>
      <c r="IS150" s="100"/>
      <c r="IT150" s="100"/>
    </row>
    <row r="151" spans="1:254" s="99" customFormat="1" ht="16.5" customHeight="1">
      <c r="A151" s="46" t="s">
        <v>59</v>
      </c>
      <c r="B151" s="49"/>
      <c r="C151" s="83">
        <f>F151+I151+L151+O151</f>
        <v>0</v>
      </c>
      <c r="D151" s="83">
        <v>0</v>
      </c>
      <c r="E151" s="84"/>
      <c r="F151" s="32">
        <f t="shared" si="23"/>
        <v>0</v>
      </c>
      <c r="G151" s="83"/>
      <c r="H151" s="84"/>
      <c r="I151" s="32">
        <f t="shared" si="24"/>
        <v>0</v>
      </c>
      <c r="J151" s="83"/>
      <c r="K151" s="84"/>
      <c r="L151" s="32">
        <f t="shared" si="25"/>
        <v>0</v>
      </c>
      <c r="M151" s="83"/>
      <c r="N151" s="84"/>
      <c r="O151" s="32">
        <f t="shared" si="26"/>
        <v>0</v>
      </c>
      <c r="P151" s="32">
        <f t="shared" si="27"/>
        <v>0</v>
      </c>
      <c r="Q151" s="98"/>
      <c r="R151" s="98"/>
      <c r="IP151" s="100"/>
      <c r="IQ151" s="100"/>
      <c r="IR151" s="100"/>
      <c r="IS151" s="100"/>
      <c r="IT151" s="100"/>
    </row>
    <row r="152" spans="1:254" s="99" customFormat="1" ht="16.5" customHeight="1">
      <c r="A152" s="41" t="s">
        <v>60</v>
      </c>
      <c r="B152" s="50"/>
      <c r="C152" s="83">
        <f>F152+I152+L152+O152</f>
        <v>92</v>
      </c>
      <c r="D152" s="83">
        <v>5</v>
      </c>
      <c r="E152" s="84"/>
      <c r="F152" s="32">
        <f t="shared" si="23"/>
        <v>5</v>
      </c>
      <c r="G152" s="83">
        <v>34</v>
      </c>
      <c r="H152" s="84"/>
      <c r="I152" s="32">
        <f t="shared" si="24"/>
        <v>34</v>
      </c>
      <c r="J152" s="83">
        <v>53</v>
      </c>
      <c r="K152" s="84"/>
      <c r="L152" s="32">
        <f t="shared" si="25"/>
        <v>53</v>
      </c>
      <c r="M152" s="83"/>
      <c r="N152" s="84"/>
      <c r="O152" s="32">
        <f t="shared" si="26"/>
        <v>0</v>
      </c>
      <c r="P152" s="32">
        <f t="shared" si="27"/>
        <v>92</v>
      </c>
      <c r="Q152" s="98"/>
      <c r="R152" s="98"/>
      <c r="IP152" s="100"/>
      <c r="IQ152" s="100"/>
      <c r="IR152" s="100"/>
      <c r="IS152" s="100"/>
      <c r="IT152" s="100"/>
    </row>
    <row r="153" spans="1:254" s="99" customFormat="1" ht="16.5" customHeight="1" hidden="1">
      <c r="A153" s="41"/>
      <c r="B153" s="88"/>
      <c r="C153" s="83"/>
      <c r="D153" s="83"/>
      <c r="E153" s="84"/>
      <c r="F153" s="32">
        <f t="shared" si="23"/>
        <v>0</v>
      </c>
      <c r="G153" s="83"/>
      <c r="H153" s="84"/>
      <c r="I153" s="32">
        <f t="shared" si="24"/>
        <v>0</v>
      </c>
      <c r="J153" s="83"/>
      <c r="K153" s="84"/>
      <c r="L153" s="32">
        <f t="shared" si="25"/>
        <v>0</v>
      </c>
      <c r="M153" s="83"/>
      <c r="N153" s="84"/>
      <c r="O153" s="32">
        <f t="shared" si="26"/>
        <v>0</v>
      </c>
      <c r="P153" s="32">
        <f t="shared" si="27"/>
        <v>0</v>
      </c>
      <c r="Q153" s="98"/>
      <c r="R153" s="98"/>
      <c r="IP153" s="100"/>
      <c r="IQ153" s="100"/>
      <c r="IR153" s="100"/>
      <c r="IS153" s="100"/>
      <c r="IT153" s="100"/>
    </row>
    <row r="154" spans="1:254" s="99" customFormat="1" ht="16.5" customHeight="1" hidden="1">
      <c r="A154" s="42"/>
      <c r="B154" s="31"/>
      <c r="C154" s="116">
        <v>0</v>
      </c>
      <c r="D154" s="116">
        <v>0</v>
      </c>
      <c r="E154" s="117">
        <f>E155+E156+E157</f>
        <v>0</v>
      </c>
      <c r="F154" s="32">
        <f t="shared" si="23"/>
        <v>0</v>
      </c>
      <c r="G154" s="116">
        <v>0</v>
      </c>
      <c r="H154" s="117">
        <f>H155+H156+H157</f>
        <v>0</v>
      </c>
      <c r="I154" s="32">
        <f t="shared" si="24"/>
        <v>0</v>
      </c>
      <c r="J154" s="116">
        <v>0</v>
      </c>
      <c r="K154" s="117">
        <f>K155+K156+K157</f>
        <v>0</v>
      </c>
      <c r="L154" s="32">
        <f t="shared" si="25"/>
        <v>0</v>
      </c>
      <c r="M154" s="116">
        <v>0</v>
      </c>
      <c r="N154" s="117"/>
      <c r="O154" s="32">
        <f t="shared" si="26"/>
        <v>0</v>
      </c>
      <c r="P154" s="32">
        <f t="shared" si="27"/>
        <v>0</v>
      </c>
      <c r="Q154" s="98"/>
      <c r="R154" s="98"/>
      <c r="IP154" s="100"/>
      <c r="IQ154" s="100"/>
      <c r="IR154" s="100"/>
      <c r="IS154" s="100"/>
      <c r="IT154" s="100"/>
    </row>
    <row r="155" spans="1:254" s="99" customFormat="1" ht="16.5" customHeight="1" hidden="1">
      <c r="A155" s="41" t="s">
        <v>61</v>
      </c>
      <c r="B155" s="88"/>
      <c r="C155" s="83">
        <f>F155+I155+L155+O155</f>
        <v>486</v>
      </c>
      <c r="D155" s="83">
        <v>27</v>
      </c>
      <c r="E155" s="84"/>
      <c r="F155" s="32">
        <f t="shared" si="23"/>
        <v>27</v>
      </c>
      <c r="G155" s="83">
        <v>178</v>
      </c>
      <c r="H155" s="84"/>
      <c r="I155" s="32">
        <f t="shared" si="24"/>
        <v>178</v>
      </c>
      <c r="J155" s="83">
        <v>281</v>
      </c>
      <c r="K155" s="84"/>
      <c r="L155" s="32">
        <f t="shared" si="25"/>
        <v>281</v>
      </c>
      <c r="M155" s="83"/>
      <c r="N155" s="84"/>
      <c r="O155" s="32">
        <f t="shared" si="26"/>
        <v>0</v>
      </c>
      <c r="P155" s="32">
        <f t="shared" si="27"/>
        <v>486</v>
      </c>
      <c r="Q155" s="98"/>
      <c r="R155" s="98"/>
      <c r="IP155" s="100"/>
      <c r="IQ155" s="100"/>
      <c r="IR155" s="100"/>
      <c r="IS155" s="100"/>
      <c r="IT155" s="100"/>
    </row>
    <row r="156" spans="1:254" s="99" customFormat="1" ht="16.5" customHeight="1" hidden="1">
      <c r="A156" s="41" t="s">
        <v>62</v>
      </c>
      <c r="B156" s="88"/>
      <c r="C156" s="83">
        <f>F156+I156+L156+O156</f>
        <v>0</v>
      </c>
      <c r="D156" s="83">
        <v>0</v>
      </c>
      <c r="E156" s="84"/>
      <c r="F156" s="32">
        <f t="shared" si="23"/>
        <v>0</v>
      </c>
      <c r="G156" s="83"/>
      <c r="H156" s="84"/>
      <c r="I156" s="32">
        <f t="shared" si="24"/>
        <v>0</v>
      </c>
      <c r="J156" s="83"/>
      <c r="K156" s="84"/>
      <c r="L156" s="32">
        <f t="shared" si="25"/>
        <v>0</v>
      </c>
      <c r="M156" s="83"/>
      <c r="N156" s="84"/>
      <c r="O156" s="32">
        <f t="shared" si="26"/>
        <v>0</v>
      </c>
      <c r="P156" s="32">
        <f t="shared" si="27"/>
        <v>0</v>
      </c>
      <c r="Q156" s="98"/>
      <c r="R156" s="98"/>
      <c r="IP156" s="100"/>
      <c r="IQ156" s="100"/>
      <c r="IR156" s="100"/>
      <c r="IS156" s="100"/>
      <c r="IT156" s="100"/>
    </row>
    <row r="157" spans="1:254" s="99" customFormat="1" ht="16.5" customHeight="1" hidden="1">
      <c r="A157" s="41" t="s">
        <v>63</v>
      </c>
      <c r="B157" s="88"/>
      <c r="C157" s="83">
        <f>F157+I157+L157+O157</f>
        <v>92</v>
      </c>
      <c r="D157" s="83">
        <v>5</v>
      </c>
      <c r="E157" s="84"/>
      <c r="F157" s="32">
        <f t="shared" si="23"/>
        <v>5</v>
      </c>
      <c r="G157" s="83">
        <v>34</v>
      </c>
      <c r="H157" s="84"/>
      <c r="I157" s="32">
        <f t="shared" si="24"/>
        <v>34</v>
      </c>
      <c r="J157" s="83">
        <v>53</v>
      </c>
      <c r="K157" s="84"/>
      <c r="L157" s="32">
        <f t="shared" si="25"/>
        <v>53</v>
      </c>
      <c r="M157" s="83"/>
      <c r="N157" s="84"/>
      <c r="O157" s="32">
        <f t="shared" si="26"/>
        <v>0</v>
      </c>
      <c r="P157" s="32">
        <f t="shared" si="27"/>
        <v>92</v>
      </c>
      <c r="Q157" s="98"/>
      <c r="R157" s="98"/>
      <c r="IP157" s="100"/>
      <c r="IQ157" s="100"/>
      <c r="IR157" s="100"/>
      <c r="IS157" s="100"/>
      <c r="IT157" s="100"/>
    </row>
    <row r="158" spans="1:254" s="99" customFormat="1" ht="30" customHeight="1">
      <c r="A158" s="78" t="s">
        <v>47</v>
      </c>
      <c r="B158" s="25" t="s">
        <v>64</v>
      </c>
      <c r="C158" s="44">
        <f>C159+C160+C161</f>
        <v>330</v>
      </c>
      <c r="D158" s="44">
        <f>D159+D160+D161</f>
        <v>118</v>
      </c>
      <c r="E158" s="45">
        <f>E159+E160+E161</f>
        <v>0</v>
      </c>
      <c r="F158" s="32">
        <f t="shared" si="23"/>
        <v>118</v>
      </c>
      <c r="G158" s="44">
        <f>G159+G160+G161</f>
        <v>125</v>
      </c>
      <c r="H158" s="45">
        <f>H159+H160+H161</f>
        <v>0</v>
      </c>
      <c r="I158" s="32">
        <f t="shared" si="24"/>
        <v>125</v>
      </c>
      <c r="J158" s="44">
        <f>J159+J160+J161</f>
        <v>87</v>
      </c>
      <c r="K158" s="45">
        <f>K159+K160+K161</f>
        <v>0</v>
      </c>
      <c r="L158" s="32">
        <f t="shared" si="25"/>
        <v>87</v>
      </c>
      <c r="M158" s="44">
        <f>M159+M160+M161</f>
        <v>0</v>
      </c>
      <c r="N158" s="45"/>
      <c r="O158" s="32">
        <f t="shared" si="26"/>
        <v>0</v>
      </c>
      <c r="P158" s="32">
        <f t="shared" si="27"/>
        <v>330</v>
      </c>
      <c r="Q158" s="98"/>
      <c r="R158" s="98"/>
      <c r="IP158" s="100"/>
      <c r="IQ158" s="100"/>
      <c r="IR158" s="100"/>
      <c r="IS158" s="100"/>
      <c r="IT158" s="100"/>
    </row>
    <row r="159" spans="1:254" s="99" customFormat="1" ht="16.5" customHeight="1">
      <c r="A159" s="46" t="s">
        <v>58</v>
      </c>
      <c r="B159" s="47"/>
      <c r="C159" s="83">
        <v>269</v>
      </c>
      <c r="D159" s="84">
        <v>91</v>
      </c>
      <c r="E159" s="84"/>
      <c r="F159" s="32">
        <f t="shared" si="23"/>
        <v>91</v>
      </c>
      <c r="G159" s="84">
        <v>105</v>
      </c>
      <c r="H159" s="84">
        <v>-196</v>
      </c>
      <c r="I159" s="32">
        <f t="shared" si="24"/>
        <v>-91</v>
      </c>
      <c r="J159" s="84">
        <v>73</v>
      </c>
      <c r="K159" s="84">
        <v>-73</v>
      </c>
      <c r="L159" s="32">
        <f t="shared" si="25"/>
        <v>0</v>
      </c>
      <c r="M159" s="83"/>
      <c r="N159" s="84"/>
      <c r="O159" s="32">
        <f t="shared" si="26"/>
        <v>0</v>
      </c>
      <c r="P159" s="32">
        <f t="shared" si="27"/>
        <v>0</v>
      </c>
      <c r="Q159" s="98"/>
      <c r="R159" s="98"/>
      <c r="IP159" s="100"/>
      <c r="IQ159" s="100"/>
      <c r="IR159" s="100"/>
      <c r="IS159" s="100"/>
      <c r="IT159" s="100"/>
    </row>
    <row r="160" spans="1:254" s="99" customFormat="1" ht="16.5" customHeight="1">
      <c r="A160" s="46" t="s">
        <v>59</v>
      </c>
      <c r="B160" s="49"/>
      <c r="C160" s="83">
        <v>0</v>
      </c>
      <c r="D160" s="84">
        <v>0</v>
      </c>
      <c r="E160" s="84"/>
      <c r="F160" s="32">
        <f t="shared" si="23"/>
        <v>0</v>
      </c>
      <c r="G160" s="84">
        <v>0</v>
      </c>
      <c r="H160" s="84">
        <f>105+91</f>
        <v>196</v>
      </c>
      <c r="I160" s="32">
        <f t="shared" si="24"/>
        <v>196</v>
      </c>
      <c r="J160" s="84">
        <v>0</v>
      </c>
      <c r="K160" s="84">
        <v>73</v>
      </c>
      <c r="L160" s="32">
        <f t="shared" si="25"/>
        <v>73</v>
      </c>
      <c r="M160" s="83"/>
      <c r="N160" s="84"/>
      <c r="O160" s="32">
        <f t="shared" si="26"/>
        <v>0</v>
      </c>
      <c r="P160" s="32">
        <f>F160+I160+L160+O160</f>
        <v>269</v>
      </c>
      <c r="Q160" s="98"/>
      <c r="R160" s="98"/>
      <c r="IP160" s="100"/>
      <c r="IQ160" s="100"/>
      <c r="IR160" s="100"/>
      <c r="IS160" s="100"/>
      <c r="IT160" s="100"/>
    </row>
    <row r="161" spans="1:254" s="99" customFormat="1" ht="16.5" customHeight="1">
      <c r="A161" s="41" t="s">
        <v>60</v>
      </c>
      <c r="B161" s="50"/>
      <c r="C161" s="83">
        <f>F161+I161+L161+O161</f>
        <v>61</v>
      </c>
      <c r="D161" s="84">
        <v>27</v>
      </c>
      <c r="E161" s="84"/>
      <c r="F161" s="32">
        <f t="shared" si="23"/>
        <v>27</v>
      </c>
      <c r="G161" s="84">
        <v>20</v>
      </c>
      <c r="H161" s="84"/>
      <c r="I161" s="32">
        <f t="shared" si="24"/>
        <v>20</v>
      </c>
      <c r="J161" s="84">
        <v>14</v>
      </c>
      <c r="K161" s="84"/>
      <c r="L161" s="32">
        <f t="shared" si="25"/>
        <v>14</v>
      </c>
      <c r="M161" s="83"/>
      <c r="N161" s="84"/>
      <c r="O161" s="32">
        <f t="shared" si="26"/>
        <v>0</v>
      </c>
      <c r="P161" s="32">
        <f t="shared" si="27"/>
        <v>61</v>
      </c>
      <c r="Q161" s="98"/>
      <c r="R161" s="98"/>
      <c r="IP161" s="100"/>
      <c r="IQ161" s="100"/>
      <c r="IR161" s="100"/>
      <c r="IS161" s="100"/>
      <c r="IT161" s="100"/>
    </row>
    <row r="162" spans="1:254" s="99" customFormat="1" ht="16.5" customHeight="1" hidden="1">
      <c r="A162" s="41"/>
      <c r="B162" s="88"/>
      <c r="C162" s="83"/>
      <c r="D162" s="83"/>
      <c r="E162" s="84"/>
      <c r="F162" s="32">
        <f t="shared" si="23"/>
        <v>0</v>
      </c>
      <c r="G162" s="83"/>
      <c r="H162" s="84"/>
      <c r="I162" s="32">
        <f t="shared" si="24"/>
        <v>0</v>
      </c>
      <c r="J162" s="83"/>
      <c r="K162" s="84"/>
      <c r="L162" s="32">
        <f t="shared" si="25"/>
        <v>0</v>
      </c>
      <c r="M162" s="83"/>
      <c r="N162" s="84"/>
      <c r="O162" s="32">
        <f t="shared" si="26"/>
        <v>0</v>
      </c>
      <c r="P162" s="32">
        <f t="shared" si="27"/>
        <v>0</v>
      </c>
      <c r="Q162" s="98"/>
      <c r="R162" s="98"/>
      <c r="IP162" s="100"/>
      <c r="IQ162" s="100"/>
      <c r="IR162" s="100"/>
      <c r="IS162" s="100"/>
      <c r="IT162" s="100"/>
    </row>
    <row r="163" spans="1:254" s="99" customFormat="1" ht="16.5" customHeight="1" hidden="1">
      <c r="A163" s="42"/>
      <c r="B163" s="31"/>
      <c r="C163" s="116">
        <v>0</v>
      </c>
      <c r="D163" s="116">
        <v>0</v>
      </c>
      <c r="E163" s="117">
        <f>E164+E165+E166</f>
        <v>0</v>
      </c>
      <c r="F163" s="32">
        <f t="shared" si="23"/>
        <v>0</v>
      </c>
      <c r="G163" s="116">
        <v>0</v>
      </c>
      <c r="H163" s="117">
        <f>H164+H165+H166</f>
        <v>0</v>
      </c>
      <c r="I163" s="32">
        <f t="shared" si="24"/>
        <v>0</v>
      </c>
      <c r="J163" s="116">
        <v>0</v>
      </c>
      <c r="K163" s="117">
        <f>K164+K165+K166</f>
        <v>0</v>
      </c>
      <c r="L163" s="32">
        <f t="shared" si="25"/>
        <v>0</v>
      </c>
      <c r="M163" s="116">
        <v>0</v>
      </c>
      <c r="N163" s="117"/>
      <c r="O163" s="32">
        <f t="shared" si="26"/>
        <v>0</v>
      </c>
      <c r="P163" s="32">
        <f>F163+I163+L163+O163</f>
        <v>0</v>
      </c>
      <c r="Q163" s="98"/>
      <c r="R163" s="98"/>
      <c r="IP163" s="100"/>
      <c r="IQ163" s="100"/>
      <c r="IR163" s="100"/>
      <c r="IS163" s="100"/>
      <c r="IT163" s="100"/>
    </row>
    <row r="164" spans="1:254" s="99" customFormat="1" ht="16.5" customHeight="1" hidden="1">
      <c r="A164" s="41" t="s">
        <v>61</v>
      </c>
      <c r="B164" s="88"/>
      <c r="C164" s="83">
        <v>269</v>
      </c>
      <c r="D164" s="84">
        <v>91</v>
      </c>
      <c r="E164" s="84"/>
      <c r="F164" s="32">
        <f t="shared" si="23"/>
        <v>91</v>
      </c>
      <c r="G164" s="84">
        <v>105</v>
      </c>
      <c r="H164" s="84">
        <v>-196</v>
      </c>
      <c r="I164" s="32">
        <f t="shared" si="24"/>
        <v>-91</v>
      </c>
      <c r="J164" s="84">
        <v>73</v>
      </c>
      <c r="K164" s="84">
        <v>-73</v>
      </c>
      <c r="L164" s="32">
        <f t="shared" si="25"/>
        <v>0</v>
      </c>
      <c r="M164" s="83"/>
      <c r="N164" s="84"/>
      <c r="O164" s="32">
        <f t="shared" si="26"/>
        <v>0</v>
      </c>
      <c r="P164" s="32">
        <f>F164+I164+L164+O164</f>
        <v>0</v>
      </c>
      <c r="Q164" s="98"/>
      <c r="R164" s="98"/>
      <c r="IP164" s="100"/>
      <c r="IQ164" s="100"/>
      <c r="IR164" s="100"/>
      <c r="IS164" s="100"/>
      <c r="IT164" s="100"/>
    </row>
    <row r="165" spans="1:254" s="99" customFormat="1" ht="16.5" customHeight="1" hidden="1">
      <c r="A165" s="41" t="s">
        <v>62</v>
      </c>
      <c r="B165" s="118" t="s">
        <v>65</v>
      </c>
      <c r="C165" s="83">
        <v>0</v>
      </c>
      <c r="D165" s="84"/>
      <c r="E165" s="84"/>
      <c r="F165" s="32">
        <f t="shared" si="23"/>
        <v>0</v>
      </c>
      <c r="G165" s="84">
        <v>0</v>
      </c>
      <c r="H165" s="84">
        <v>196</v>
      </c>
      <c r="I165" s="32">
        <f t="shared" si="24"/>
        <v>196</v>
      </c>
      <c r="J165" s="84">
        <v>0</v>
      </c>
      <c r="K165" s="84">
        <v>73</v>
      </c>
      <c r="L165" s="32">
        <f t="shared" si="25"/>
        <v>73</v>
      </c>
      <c r="M165" s="83"/>
      <c r="N165" s="84"/>
      <c r="O165" s="32">
        <f t="shared" si="26"/>
        <v>0</v>
      </c>
      <c r="P165" s="32">
        <f>F165+I165+L165+O165</f>
        <v>269</v>
      </c>
      <c r="Q165" s="98"/>
      <c r="R165" s="98"/>
      <c r="IP165" s="100"/>
      <c r="IQ165" s="100"/>
      <c r="IR165" s="100"/>
      <c r="IS165" s="100"/>
      <c r="IT165" s="100"/>
    </row>
    <row r="166" spans="1:254" s="99" customFormat="1" ht="16.5" customHeight="1" hidden="1">
      <c r="A166" s="41" t="s">
        <v>63</v>
      </c>
      <c r="B166" s="88"/>
      <c r="C166" s="83">
        <f>F166+I166+L166+O166</f>
        <v>61</v>
      </c>
      <c r="D166" s="84">
        <v>27</v>
      </c>
      <c r="E166" s="84"/>
      <c r="F166" s="32">
        <f t="shared" si="23"/>
        <v>27</v>
      </c>
      <c r="G166" s="84">
        <v>20</v>
      </c>
      <c r="H166" s="84"/>
      <c r="I166" s="32">
        <f t="shared" si="24"/>
        <v>20</v>
      </c>
      <c r="J166" s="84">
        <v>14</v>
      </c>
      <c r="K166" s="84"/>
      <c r="L166" s="32">
        <f t="shared" si="25"/>
        <v>14</v>
      </c>
      <c r="M166" s="83"/>
      <c r="N166" s="84"/>
      <c r="O166" s="32">
        <f t="shared" si="26"/>
        <v>0</v>
      </c>
      <c r="P166" s="32">
        <f>F166+I166+L166+O166</f>
        <v>61</v>
      </c>
      <c r="Q166" s="98"/>
      <c r="R166" s="98"/>
      <c r="IP166" s="100"/>
      <c r="IQ166" s="100"/>
      <c r="IR166" s="100"/>
      <c r="IS166" s="100"/>
      <c r="IT166" s="100"/>
    </row>
    <row r="167" spans="1:254" s="99" customFormat="1" ht="30" customHeight="1">
      <c r="A167" s="78" t="s">
        <v>55</v>
      </c>
      <c r="B167" s="78" t="s">
        <v>66</v>
      </c>
      <c r="C167" s="44">
        <f aca="true" t="shared" si="28" ref="C167:P167">C168+C170</f>
        <v>687</v>
      </c>
      <c r="D167" s="44">
        <f t="shared" si="28"/>
        <v>10</v>
      </c>
      <c r="E167" s="45">
        <f t="shared" si="28"/>
        <v>0</v>
      </c>
      <c r="F167" s="44">
        <f t="shared" si="28"/>
        <v>10</v>
      </c>
      <c r="G167" s="44">
        <f t="shared" si="28"/>
        <v>313</v>
      </c>
      <c r="H167" s="45">
        <f t="shared" si="28"/>
        <v>0</v>
      </c>
      <c r="I167" s="44">
        <f t="shared" si="28"/>
        <v>313</v>
      </c>
      <c r="J167" s="44">
        <f t="shared" si="28"/>
        <v>364</v>
      </c>
      <c r="K167" s="45">
        <f t="shared" si="28"/>
        <v>0</v>
      </c>
      <c r="L167" s="44">
        <f t="shared" si="28"/>
        <v>364</v>
      </c>
      <c r="M167" s="44">
        <f t="shared" si="28"/>
        <v>0</v>
      </c>
      <c r="N167" s="45">
        <f t="shared" si="28"/>
        <v>0</v>
      </c>
      <c r="O167" s="44">
        <f t="shared" si="28"/>
        <v>0</v>
      </c>
      <c r="P167" s="44">
        <f t="shared" si="28"/>
        <v>687</v>
      </c>
      <c r="Q167" s="98"/>
      <c r="R167" s="98"/>
      <c r="IP167" s="100"/>
      <c r="IQ167" s="100"/>
      <c r="IR167" s="100"/>
      <c r="IS167" s="100"/>
      <c r="IT167" s="100"/>
    </row>
    <row r="168" spans="1:254" s="99" customFormat="1" ht="16.5" customHeight="1">
      <c r="A168" s="46" t="s">
        <v>58</v>
      </c>
      <c r="B168" s="119" t="s">
        <v>22</v>
      </c>
      <c r="C168" s="83">
        <f>F168+I168+L168+O168</f>
        <v>577</v>
      </c>
      <c r="D168" s="83">
        <v>9</v>
      </c>
      <c r="E168" s="84"/>
      <c r="F168" s="32">
        <f>D168+E168</f>
        <v>9</v>
      </c>
      <c r="G168" s="83">
        <v>262</v>
      </c>
      <c r="H168" s="84"/>
      <c r="I168" s="32">
        <f>G168+H168</f>
        <v>262</v>
      </c>
      <c r="J168" s="83">
        <v>306</v>
      </c>
      <c r="K168" s="84"/>
      <c r="L168" s="32">
        <f>J168+K168</f>
        <v>306</v>
      </c>
      <c r="M168" s="83"/>
      <c r="N168" s="84"/>
      <c r="O168" s="32">
        <f>M168+N168</f>
        <v>0</v>
      </c>
      <c r="P168" s="32">
        <f>F168+I168+L168+O168</f>
        <v>577</v>
      </c>
      <c r="Q168" s="98"/>
      <c r="R168" s="98"/>
      <c r="IP168" s="100"/>
      <c r="IQ168" s="100"/>
      <c r="IR168" s="100"/>
      <c r="IS168" s="100"/>
      <c r="IT168" s="100"/>
    </row>
    <row r="169" spans="1:254" s="99" customFormat="1" ht="16.5" customHeight="1">
      <c r="A169" s="46" t="s">
        <v>59</v>
      </c>
      <c r="B169" s="119" t="s">
        <v>29</v>
      </c>
      <c r="C169" s="83"/>
      <c r="D169" s="83"/>
      <c r="E169" s="84"/>
      <c r="F169" s="32"/>
      <c r="G169" s="83"/>
      <c r="H169" s="84"/>
      <c r="I169" s="32"/>
      <c r="J169" s="83"/>
      <c r="K169" s="84"/>
      <c r="L169" s="32"/>
      <c r="M169" s="83"/>
      <c r="N169" s="84"/>
      <c r="O169" s="32"/>
      <c r="P169" s="32"/>
      <c r="Q169" s="98"/>
      <c r="R169" s="98"/>
      <c r="IP169" s="100"/>
      <c r="IQ169" s="100"/>
      <c r="IR169" s="100"/>
      <c r="IS169" s="100"/>
      <c r="IT169" s="100"/>
    </row>
    <row r="170" spans="1:254" s="99" customFormat="1" ht="16.5" customHeight="1">
      <c r="A170" s="41" t="s">
        <v>60</v>
      </c>
      <c r="B170" s="119" t="s">
        <v>26</v>
      </c>
      <c r="C170" s="83">
        <f>F170+I170+L170+O170</f>
        <v>110</v>
      </c>
      <c r="D170" s="83">
        <v>1</v>
      </c>
      <c r="E170" s="84"/>
      <c r="F170" s="32">
        <f>D170+E170</f>
        <v>1</v>
      </c>
      <c r="G170" s="83">
        <v>51</v>
      </c>
      <c r="H170" s="84"/>
      <c r="I170" s="32">
        <f>G170+H170</f>
        <v>51</v>
      </c>
      <c r="J170" s="83">
        <v>58</v>
      </c>
      <c r="K170" s="84"/>
      <c r="L170" s="32">
        <f>J170+K170</f>
        <v>58</v>
      </c>
      <c r="M170" s="83"/>
      <c r="N170" s="84"/>
      <c r="O170" s="32">
        <f>M170+N170</f>
        <v>0</v>
      </c>
      <c r="P170" s="32">
        <f>F170+I170+L170+O170</f>
        <v>110</v>
      </c>
      <c r="Q170" s="98"/>
      <c r="R170" s="98"/>
      <c r="IP170" s="100"/>
      <c r="IQ170" s="100"/>
      <c r="IR170" s="100"/>
      <c r="IS170" s="100"/>
      <c r="IT170" s="100"/>
    </row>
    <row r="171" spans="1:254" s="99" customFormat="1" ht="16.5" customHeight="1" hidden="1">
      <c r="A171" s="41"/>
      <c r="B171" s="46"/>
      <c r="C171" s="83"/>
      <c r="D171" s="83"/>
      <c r="E171" s="84"/>
      <c r="F171" s="32"/>
      <c r="G171" s="83"/>
      <c r="H171" s="84"/>
      <c r="I171" s="32"/>
      <c r="J171" s="83"/>
      <c r="K171" s="84"/>
      <c r="L171" s="32">
        <f>J171+K171</f>
        <v>0</v>
      </c>
      <c r="M171" s="83"/>
      <c r="N171" s="84"/>
      <c r="O171" s="32">
        <f>M171+N171</f>
        <v>0</v>
      </c>
      <c r="P171" s="32"/>
      <c r="Q171" s="98"/>
      <c r="R171" s="98"/>
      <c r="IP171" s="100"/>
      <c r="IQ171" s="100"/>
      <c r="IR171" s="100"/>
      <c r="IS171" s="100"/>
      <c r="IT171" s="100"/>
    </row>
    <row r="172" spans="1:254" s="99" customFormat="1" ht="16.5" customHeight="1" hidden="1">
      <c r="A172" s="42"/>
      <c r="B172" s="120"/>
      <c r="C172" s="116" t="s">
        <v>51</v>
      </c>
      <c r="D172" s="116">
        <f aca="true" t="shared" si="29" ref="D172:P172">D173+D175</f>
        <v>10</v>
      </c>
      <c r="E172" s="117">
        <f t="shared" si="29"/>
        <v>0</v>
      </c>
      <c r="F172" s="116">
        <f t="shared" si="29"/>
        <v>10</v>
      </c>
      <c r="G172" s="116">
        <f t="shared" si="29"/>
        <v>313</v>
      </c>
      <c r="H172" s="117">
        <f t="shared" si="29"/>
        <v>0</v>
      </c>
      <c r="I172" s="116">
        <f t="shared" si="29"/>
        <v>313</v>
      </c>
      <c r="J172" s="116">
        <f t="shared" si="29"/>
        <v>364</v>
      </c>
      <c r="K172" s="117">
        <f t="shared" si="29"/>
        <v>0</v>
      </c>
      <c r="L172" s="116">
        <f t="shared" si="29"/>
        <v>364</v>
      </c>
      <c r="M172" s="116">
        <f t="shared" si="29"/>
        <v>0</v>
      </c>
      <c r="N172" s="117">
        <f t="shared" si="29"/>
        <v>0</v>
      </c>
      <c r="O172" s="116">
        <f t="shared" si="29"/>
        <v>0</v>
      </c>
      <c r="P172" s="116">
        <f t="shared" si="29"/>
        <v>687</v>
      </c>
      <c r="Q172" s="98"/>
      <c r="R172" s="98"/>
      <c r="IP172" s="100"/>
      <c r="IQ172" s="100"/>
      <c r="IR172" s="100"/>
      <c r="IS172" s="100"/>
      <c r="IT172" s="100"/>
    </row>
    <row r="173" spans="1:254" s="99" customFormat="1" ht="16.5" customHeight="1" hidden="1">
      <c r="A173" s="41" t="s">
        <v>61</v>
      </c>
      <c r="B173" s="118" t="s">
        <v>67</v>
      </c>
      <c r="C173" s="83">
        <f>F173+I173+L173+O173</f>
        <v>577</v>
      </c>
      <c r="D173" s="83">
        <f aca="true" t="shared" si="30" ref="D173:P173">D168</f>
        <v>9</v>
      </c>
      <c r="E173" s="83">
        <f t="shared" si="30"/>
        <v>0</v>
      </c>
      <c r="F173" s="83">
        <f t="shared" si="30"/>
        <v>9</v>
      </c>
      <c r="G173" s="83">
        <f t="shared" si="30"/>
        <v>262</v>
      </c>
      <c r="H173" s="83">
        <f t="shared" si="30"/>
        <v>0</v>
      </c>
      <c r="I173" s="83">
        <f t="shared" si="30"/>
        <v>262</v>
      </c>
      <c r="J173" s="83">
        <f t="shared" si="30"/>
        <v>306</v>
      </c>
      <c r="K173" s="83">
        <f t="shared" si="30"/>
        <v>0</v>
      </c>
      <c r="L173" s="83">
        <f t="shared" si="30"/>
        <v>306</v>
      </c>
      <c r="M173" s="83">
        <f t="shared" si="30"/>
        <v>0</v>
      </c>
      <c r="N173" s="83">
        <f t="shared" si="30"/>
        <v>0</v>
      </c>
      <c r="O173" s="83">
        <f t="shared" si="30"/>
        <v>0</v>
      </c>
      <c r="P173" s="83">
        <f t="shared" si="30"/>
        <v>577</v>
      </c>
      <c r="Q173" s="98"/>
      <c r="R173" s="98"/>
      <c r="IP173" s="100"/>
      <c r="IQ173" s="100"/>
      <c r="IR173" s="100"/>
      <c r="IS173" s="100"/>
      <c r="IT173" s="100"/>
    </row>
    <row r="174" spans="1:254" s="99" customFormat="1" ht="16.5" customHeight="1" hidden="1">
      <c r="A174" s="41" t="s">
        <v>62</v>
      </c>
      <c r="B174" s="118" t="s">
        <v>65</v>
      </c>
      <c r="C174" s="83"/>
      <c r="D174" s="83"/>
      <c r="E174" s="83"/>
      <c r="F174" s="83"/>
      <c r="G174" s="83"/>
      <c r="H174" s="83"/>
      <c r="I174" s="83"/>
      <c r="J174" s="83"/>
      <c r="K174" s="83"/>
      <c r="L174" s="83"/>
      <c r="M174" s="83"/>
      <c r="N174" s="83"/>
      <c r="O174" s="83"/>
      <c r="P174" s="83"/>
      <c r="Q174" s="98"/>
      <c r="R174" s="98"/>
      <c r="IP174" s="100"/>
      <c r="IQ174" s="100"/>
      <c r="IR174" s="100"/>
      <c r="IS174" s="100"/>
      <c r="IT174" s="100"/>
    </row>
    <row r="175" spans="1:254" s="99" customFormat="1" ht="16.5" customHeight="1" hidden="1">
      <c r="A175" s="41" t="s">
        <v>63</v>
      </c>
      <c r="B175" s="118" t="s">
        <v>68</v>
      </c>
      <c r="C175" s="83">
        <f>F175+I175+L175+O175</f>
        <v>110</v>
      </c>
      <c r="D175" s="83">
        <f aca="true" t="shared" si="31" ref="D175:P175">D170</f>
        <v>1</v>
      </c>
      <c r="E175" s="83">
        <f t="shared" si="31"/>
        <v>0</v>
      </c>
      <c r="F175" s="83">
        <f t="shared" si="31"/>
        <v>1</v>
      </c>
      <c r="G175" s="83">
        <f t="shared" si="31"/>
        <v>51</v>
      </c>
      <c r="H175" s="83">
        <f t="shared" si="31"/>
        <v>0</v>
      </c>
      <c r="I175" s="83">
        <f t="shared" si="31"/>
        <v>51</v>
      </c>
      <c r="J175" s="83">
        <f t="shared" si="31"/>
        <v>58</v>
      </c>
      <c r="K175" s="83">
        <f t="shared" si="31"/>
        <v>0</v>
      </c>
      <c r="L175" s="83">
        <f t="shared" si="31"/>
        <v>58</v>
      </c>
      <c r="M175" s="83">
        <f t="shared" si="31"/>
        <v>0</v>
      </c>
      <c r="N175" s="83">
        <f t="shared" si="31"/>
        <v>0</v>
      </c>
      <c r="O175" s="83">
        <f t="shared" si="31"/>
        <v>0</v>
      </c>
      <c r="P175" s="83">
        <f t="shared" si="31"/>
        <v>110</v>
      </c>
      <c r="Q175" s="98"/>
      <c r="R175" s="98"/>
      <c r="IP175" s="100"/>
      <c r="IQ175" s="100"/>
      <c r="IR175" s="100"/>
      <c r="IS175" s="100"/>
      <c r="IT175" s="100"/>
    </row>
    <row r="176" spans="1:254" s="99" customFormat="1" ht="27" customHeight="1">
      <c r="A176" s="78" t="s">
        <v>55</v>
      </c>
      <c r="B176" s="78" t="s">
        <v>69</v>
      </c>
      <c r="C176" s="44">
        <f aca="true" t="shared" si="32" ref="C176:P176">C177+C179</f>
        <v>682</v>
      </c>
      <c r="D176" s="44">
        <f t="shared" si="32"/>
        <v>10</v>
      </c>
      <c r="E176" s="45">
        <f t="shared" si="32"/>
        <v>0</v>
      </c>
      <c r="F176" s="44">
        <f t="shared" si="32"/>
        <v>10</v>
      </c>
      <c r="G176" s="44">
        <f t="shared" si="32"/>
        <v>334</v>
      </c>
      <c r="H176" s="45">
        <f t="shared" si="32"/>
        <v>0</v>
      </c>
      <c r="I176" s="44">
        <f t="shared" si="32"/>
        <v>334</v>
      </c>
      <c r="J176" s="44">
        <f t="shared" si="32"/>
        <v>338</v>
      </c>
      <c r="K176" s="45">
        <f t="shared" si="32"/>
        <v>0</v>
      </c>
      <c r="L176" s="44">
        <f t="shared" si="32"/>
        <v>338</v>
      </c>
      <c r="M176" s="44">
        <f t="shared" si="32"/>
        <v>0</v>
      </c>
      <c r="N176" s="45">
        <f t="shared" si="32"/>
        <v>0</v>
      </c>
      <c r="O176" s="44">
        <f t="shared" si="32"/>
        <v>0</v>
      </c>
      <c r="P176" s="44">
        <f t="shared" si="32"/>
        <v>682</v>
      </c>
      <c r="Q176" s="98"/>
      <c r="R176" s="98"/>
      <c r="IP176" s="100"/>
      <c r="IQ176" s="100"/>
      <c r="IR176" s="100"/>
      <c r="IS176" s="100"/>
      <c r="IT176" s="100"/>
    </row>
    <row r="177" spans="1:254" s="99" customFormat="1" ht="16.5" customHeight="1">
      <c r="A177" s="46" t="s">
        <v>58</v>
      </c>
      <c r="B177" s="119" t="s">
        <v>22</v>
      </c>
      <c r="C177" s="83">
        <f>F177+I177+L177+O177</f>
        <v>573</v>
      </c>
      <c r="D177" s="83">
        <v>9</v>
      </c>
      <c r="E177" s="84"/>
      <c r="F177" s="32">
        <f>D177+E177</f>
        <v>9</v>
      </c>
      <c r="G177" s="83">
        <v>280</v>
      </c>
      <c r="H177" s="84"/>
      <c r="I177" s="32">
        <f>G177+H177</f>
        <v>280</v>
      </c>
      <c r="J177" s="83">
        <v>284</v>
      </c>
      <c r="K177" s="84"/>
      <c r="L177" s="32">
        <f>J177+K177</f>
        <v>284</v>
      </c>
      <c r="M177" s="83"/>
      <c r="N177" s="84"/>
      <c r="O177" s="32">
        <f>M177+N177</f>
        <v>0</v>
      </c>
      <c r="P177" s="32">
        <f>F177+I177+L177+O177</f>
        <v>573</v>
      </c>
      <c r="Q177" s="98"/>
      <c r="R177" s="98"/>
      <c r="IP177" s="100"/>
      <c r="IQ177" s="100"/>
      <c r="IR177" s="100"/>
      <c r="IS177" s="100"/>
      <c r="IT177" s="100"/>
    </row>
    <row r="178" spans="1:254" s="99" customFormat="1" ht="16.5" customHeight="1">
      <c r="A178" s="46" t="s">
        <v>59</v>
      </c>
      <c r="B178" s="119" t="s">
        <v>29</v>
      </c>
      <c r="C178" s="83"/>
      <c r="D178" s="83"/>
      <c r="E178" s="84"/>
      <c r="F178" s="32"/>
      <c r="G178" s="83"/>
      <c r="H178" s="84"/>
      <c r="I178" s="32"/>
      <c r="J178" s="83"/>
      <c r="K178" s="84"/>
      <c r="L178" s="32"/>
      <c r="M178" s="83"/>
      <c r="N178" s="84"/>
      <c r="O178" s="32"/>
      <c r="P178" s="32"/>
      <c r="Q178" s="98"/>
      <c r="R178" s="98"/>
      <c r="IP178" s="100"/>
      <c r="IQ178" s="100"/>
      <c r="IR178" s="100"/>
      <c r="IS178" s="100"/>
      <c r="IT178" s="100"/>
    </row>
    <row r="179" spans="1:254" s="99" customFormat="1" ht="16.5" customHeight="1">
      <c r="A179" s="41" t="s">
        <v>60</v>
      </c>
      <c r="B179" s="119" t="s">
        <v>26</v>
      </c>
      <c r="C179" s="83">
        <f>F179+I179+L179+O179</f>
        <v>109</v>
      </c>
      <c r="D179" s="83">
        <v>1</v>
      </c>
      <c r="E179" s="84"/>
      <c r="F179" s="32">
        <f>D179+E179</f>
        <v>1</v>
      </c>
      <c r="G179" s="83">
        <v>54</v>
      </c>
      <c r="H179" s="84"/>
      <c r="I179" s="32">
        <f>G179+H179</f>
        <v>54</v>
      </c>
      <c r="J179" s="83">
        <v>54</v>
      </c>
      <c r="K179" s="84"/>
      <c r="L179" s="32">
        <f>J179+K179</f>
        <v>54</v>
      </c>
      <c r="M179" s="83"/>
      <c r="N179" s="84"/>
      <c r="O179" s="32">
        <f>M179+N179</f>
        <v>0</v>
      </c>
      <c r="P179" s="32">
        <f>F179+I179+L179+O179</f>
        <v>109</v>
      </c>
      <c r="Q179" s="98"/>
      <c r="R179" s="98"/>
      <c r="IP179" s="100"/>
      <c r="IQ179" s="100"/>
      <c r="IR179" s="100"/>
      <c r="IS179" s="100"/>
      <c r="IT179" s="100"/>
    </row>
    <row r="180" spans="1:254" s="99" customFormat="1" ht="16.5" customHeight="1" hidden="1">
      <c r="A180" s="41"/>
      <c r="B180" s="46"/>
      <c r="C180" s="83"/>
      <c r="D180" s="83"/>
      <c r="E180" s="84"/>
      <c r="F180" s="32"/>
      <c r="G180" s="83"/>
      <c r="H180" s="84"/>
      <c r="I180" s="32"/>
      <c r="J180" s="83"/>
      <c r="K180" s="84"/>
      <c r="L180" s="32">
        <f>J180+K180</f>
        <v>0</v>
      </c>
      <c r="M180" s="83"/>
      <c r="N180" s="84"/>
      <c r="O180" s="32">
        <f>M180+N180</f>
        <v>0</v>
      </c>
      <c r="P180" s="32"/>
      <c r="Q180" s="98"/>
      <c r="R180" s="98"/>
      <c r="IP180" s="100"/>
      <c r="IQ180" s="100"/>
      <c r="IR180" s="100"/>
      <c r="IS180" s="100"/>
      <c r="IT180" s="100"/>
    </row>
    <row r="181" spans="1:254" s="99" customFormat="1" ht="16.5" customHeight="1" hidden="1">
      <c r="A181" s="42"/>
      <c r="B181" s="120"/>
      <c r="C181" s="116" t="s">
        <v>51</v>
      </c>
      <c r="D181" s="116">
        <f aca="true" t="shared" si="33" ref="D181:P181">D182+D184</f>
        <v>10</v>
      </c>
      <c r="E181" s="117">
        <f t="shared" si="33"/>
        <v>0</v>
      </c>
      <c r="F181" s="116">
        <f t="shared" si="33"/>
        <v>10</v>
      </c>
      <c r="G181" s="116">
        <f t="shared" si="33"/>
        <v>334</v>
      </c>
      <c r="H181" s="117">
        <f t="shared" si="33"/>
        <v>0</v>
      </c>
      <c r="I181" s="116">
        <f t="shared" si="33"/>
        <v>334</v>
      </c>
      <c r="J181" s="116">
        <f t="shared" si="33"/>
        <v>338</v>
      </c>
      <c r="K181" s="117">
        <f t="shared" si="33"/>
        <v>0</v>
      </c>
      <c r="L181" s="116">
        <f t="shared" si="33"/>
        <v>338</v>
      </c>
      <c r="M181" s="116">
        <f t="shared" si="33"/>
        <v>0</v>
      </c>
      <c r="N181" s="117">
        <f t="shared" si="33"/>
        <v>0</v>
      </c>
      <c r="O181" s="116">
        <f t="shared" si="33"/>
        <v>0</v>
      </c>
      <c r="P181" s="116">
        <f t="shared" si="33"/>
        <v>682</v>
      </c>
      <c r="Q181" s="98"/>
      <c r="R181" s="98"/>
      <c r="IP181" s="100"/>
      <c r="IQ181" s="100"/>
      <c r="IR181" s="100"/>
      <c r="IS181" s="100"/>
      <c r="IT181" s="100"/>
    </row>
    <row r="182" spans="1:254" s="99" customFormat="1" ht="16.5" customHeight="1" hidden="1">
      <c r="A182" s="41" t="s">
        <v>61</v>
      </c>
      <c r="B182" s="118" t="s">
        <v>67</v>
      </c>
      <c r="C182" s="83">
        <f>F182+I182+L182+O182</f>
        <v>573</v>
      </c>
      <c r="D182" s="83">
        <f aca="true" t="shared" si="34" ref="D182:P182">D177</f>
        <v>9</v>
      </c>
      <c r="E182" s="83">
        <f t="shared" si="34"/>
        <v>0</v>
      </c>
      <c r="F182" s="83">
        <f t="shared" si="34"/>
        <v>9</v>
      </c>
      <c r="G182" s="83">
        <f t="shared" si="34"/>
        <v>280</v>
      </c>
      <c r="H182" s="83">
        <f t="shared" si="34"/>
        <v>0</v>
      </c>
      <c r="I182" s="83">
        <f t="shared" si="34"/>
        <v>280</v>
      </c>
      <c r="J182" s="83">
        <f t="shared" si="34"/>
        <v>284</v>
      </c>
      <c r="K182" s="83">
        <f t="shared" si="34"/>
        <v>0</v>
      </c>
      <c r="L182" s="83">
        <f t="shared" si="34"/>
        <v>284</v>
      </c>
      <c r="M182" s="83">
        <f t="shared" si="34"/>
        <v>0</v>
      </c>
      <c r="N182" s="83">
        <f t="shared" si="34"/>
        <v>0</v>
      </c>
      <c r="O182" s="83">
        <f t="shared" si="34"/>
        <v>0</v>
      </c>
      <c r="P182" s="83">
        <f t="shared" si="34"/>
        <v>573</v>
      </c>
      <c r="Q182" s="98"/>
      <c r="R182" s="98"/>
      <c r="IP182" s="100"/>
      <c r="IQ182" s="100"/>
      <c r="IR182" s="100"/>
      <c r="IS182" s="100"/>
      <c r="IT182" s="100"/>
    </row>
    <row r="183" spans="1:254" s="99" customFormat="1" ht="16.5" customHeight="1" hidden="1">
      <c r="A183" s="41" t="s">
        <v>62</v>
      </c>
      <c r="B183" s="118" t="s">
        <v>65</v>
      </c>
      <c r="C183" s="83"/>
      <c r="D183" s="83"/>
      <c r="E183" s="83"/>
      <c r="F183" s="83"/>
      <c r="G183" s="83"/>
      <c r="H183" s="83"/>
      <c r="I183" s="83"/>
      <c r="J183" s="83"/>
      <c r="K183" s="83"/>
      <c r="L183" s="83"/>
      <c r="M183" s="83"/>
      <c r="N183" s="83"/>
      <c r="O183" s="83"/>
      <c r="P183" s="83"/>
      <c r="Q183" s="98"/>
      <c r="R183" s="98"/>
      <c r="IP183" s="100"/>
      <c r="IQ183" s="100"/>
      <c r="IR183" s="100"/>
      <c r="IS183" s="100"/>
      <c r="IT183" s="100"/>
    </row>
    <row r="184" spans="1:254" s="99" customFormat="1" ht="16.5" customHeight="1" hidden="1">
      <c r="A184" s="41" t="s">
        <v>63</v>
      </c>
      <c r="B184" s="118" t="s">
        <v>68</v>
      </c>
      <c r="C184" s="83">
        <f>F184+I184+L184+O184</f>
        <v>109</v>
      </c>
      <c r="D184" s="83">
        <f aca="true" t="shared" si="35" ref="D184:P184">D179</f>
        <v>1</v>
      </c>
      <c r="E184" s="83">
        <f t="shared" si="35"/>
        <v>0</v>
      </c>
      <c r="F184" s="83">
        <f t="shared" si="35"/>
        <v>1</v>
      </c>
      <c r="G184" s="83">
        <f t="shared" si="35"/>
        <v>54</v>
      </c>
      <c r="H184" s="83">
        <f t="shared" si="35"/>
        <v>0</v>
      </c>
      <c r="I184" s="83">
        <f t="shared" si="35"/>
        <v>54</v>
      </c>
      <c r="J184" s="83">
        <f t="shared" si="35"/>
        <v>54</v>
      </c>
      <c r="K184" s="83">
        <f t="shared" si="35"/>
        <v>0</v>
      </c>
      <c r="L184" s="83">
        <f t="shared" si="35"/>
        <v>54</v>
      </c>
      <c r="M184" s="83">
        <f t="shared" si="35"/>
        <v>0</v>
      </c>
      <c r="N184" s="83">
        <f t="shared" si="35"/>
        <v>0</v>
      </c>
      <c r="O184" s="83">
        <f t="shared" si="35"/>
        <v>0</v>
      </c>
      <c r="P184" s="83">
        <f t="shared" si="35"/>
        <v>109</v>
      </c>
      <c r="Q184" s="98"/>
      <c r="R184" s="98"/>
      <c r="IP184" s="100"/>
      <c r="IQ184" s="100"/>
      <c r="IR184" s="100"/>
      <c r="IS184" s="100"/>
      <c r="IT184" s="100"/>
    </row>
    <row r="185" spans="1:254" s="99" customFormat="1" ht="30" customHeight="1">
      <c r="A185" s="78" t="s">
        <v>55</v>
      </c>
      <c r="B185" s="78" t="s">
        <v>70</v>
      </c>
      <c r="C185" s="44">
        <f aca="true" t="shared" si="36" ref="C185:O185">C186+C188</f>
        <v>380</v>
      </c>
      <c r="D185" s="44">
        <f t="shared" si="36"/>
        <v>10</v>
      </c>
      <c r="E185" s="45">
        <f t="shared" si="36"/>
        <v>0</v>
      </c>
      <c r="F185" s="44">
        <f t="shared" si="36"/>
        <v>10</v>
      </c>
      <c r="G185" s="44">
        <f t="shared" si="36"/>
        <v>210</v>
      </c>
      <c r="H185" s="45">
        <f>H186+H188+H187</f>
        <v>0</v>
      </c>
      <c r="I185" s="44">
        <f t="shared" si="36"/>
        <v>25</v>
      </c>
      <c r="J185" s="44">
        <f t="shared" si="36"/>
        <v>160</v>
      </c>
      <c r="K185" s="45">
        <f>K186+K188+K187</f>
        <v>0</v>
      </c>
      <c r="L185" s="44">
        <f t="shared" si="36"/>
        <v>26</v>
      </c>
      <c r="M185" s="44">
        <f t="shared" si="36"/>
        <v>0</v>
      </c>
      <c r="N185" s="45">
        <f t="shared" si="36"/>
        <v>0</v>
      </c>
      <c r="O185" s="44">
        <f t="shared" si="36"/>
        <v>0</v>
      </c>
      <c r="P185" s="44">
        <f>P186+P188+P187</f>
        <v>380</v>
      </c>
      <c r="Q185" s="98"/>
      <c r="R185" s="98"/>
      <c r="IP185" s="100"/>
      <c r="IQ185" s="100"/>
      <c r="IR185" s="100"/>
      <c r="IS185" s="100"/>
      <c r="IT185" s="100"/>
    </row>
    <row r="186" spans="1:254" s="99" customFormat="1" ht="16.5" customHeight="1">
      <c r="A186" s="46" t="s">
        <v>58</v>
      </c>
      <c r="B186" s="119" t="s">
        <v>22</v>
      </c>
      <c r="C186" s="83">
        <f>D186+G186+J186+M186</f>
        <v>319</v>
      </c>
      <c r="D186" s="83">
        <v>9</v>
      </c>
      <c r="E186" s="84"/>
      <c r="F186" s="32">
        <f>D186+E186</f>
        <v>9</v>
      </c>
      <c r="G186" s="83">
        <v>176</v>
      </c>
      <c r="H186" s="84">
        <f>(-9-176)</f>
        <v>-185</v>
      </c>
      <c r="I186" s="32">
        <f>G186+H186</f>
        <v>-9</v>
      </c>
      <c r="J186" s="83">
        <v>134</v>
      </c>
      <c r="K186" s="84">
        <v>-134</v>
      </c>
      <c r="L186" s="32">
        <f>J186+K186</f>
        <v>0</v>
      </c>
      <c r="M186" s="83"/>
      <c r="N186" s="84"/>
      <c r="O186" s="32">
        <f>M186+N186</f>
        <v>0</v>
      </c>
      <c r="P186" s="32">
        <f>F186+I186+L186+O186</f>
        <v>0</v>
      </c>
      <c r="Q186" s="98"/>
      <c r="R186" s="98"/>
      <c r="IP186" s="100"/>
      <c r="IQ186" s="100"/>
      <c r="IR186" s="100"/>
      <c r="IS186" s="100"/>
      <c r="IT186" s="100"/>
    </row>
    <row r="187" spans="1:254" s="99" customFormat="1" ht="16.5" customHeight="1">
      <c r="A187" s="46" t="s">
        <v>59</v>
      </c>
      <c r="B187" s="119" t="s">
        <v>29</v>
      </c>
      <c r="C187" s="83">
        <f>D187+G187+J187+M187</f>
        <v>0</v>
      </c>
      <c r="D187" s="83"/>
      <c r="E187" s="84"/>
      <c r="F187" s="32"/>
      <c r="G187" s="83"/>
      <c r="H187" s="84">
        <v>185</v>
      </c>
      <c r="I187" s="32">
        <f>H187+G187</f>
        <v>185</v>
      </c>
      <c r="J187" s="83"/>
      <c r="K187" s="84">
        <v>134</v>
      </c>
      <c r="L187" s="32">
        <f>K187+J187</f>
        <v>134</v>
      </c>
      <c r="M187" s="83"/>
      <c r="N187" s="84"/>
      <c r="O187" s="32"/>
      <c r="P187" s="32">
        <f>F187+I187+L187+O187</f>
        <v>319</v>
      </c>
      <c r="Q187" s="98"/>
      <c r="R187" s="98"/>
      <c r="IP187" s="100"/>
      <c r="IQ187" s="100"/>
      <c r="IR187" s="100"/>
      <c r="IS187" s="100"/>
      <c r="IT187" s="100"/>
    </row>
    <row r="188" spans="1:254" s="99" customFormat="1" ht="16.5" customHeight="1">
      <c r="A188" s="41" t="s">
        <v>60</v>
      </c>
      <c r="B188" s="119" t="s">
        <v>26</v>
      </c>
      <c r="C188" s="83">
        <f>D188+G188+J188+M188</f>
        <v>61</v>
      </c>
      <c r="D188" s="83">
        <v>1</v>
      </c>
      <c r="E188" s="84"/>
      <c r="F188" s="32">
        <f>D188+E188</f>
        <v>1</v>
      </c>
      <c r="G188" s="83">
        <v>34</v>
      </c>
      <c r="H188" s="84"/>
      <c r="I188" s="32">
        <f>G188+H188</f>
        <v>34</v>
      </c>
      <c r="J188" s="83">
        <v>26</v>
      </c>
      <c r="K188" s="84"/>
      <c r="L188" s="32">
        <f>J188+K188</f>
        <v>26</v>
      </c>
      <c r="M188" s="83"/>
      <c r="N188" s="84"/>
      <c r="O188" s="32">
        <f>M188+N188</f>
        <v>0</v>
      </c>
      <c r="P188" s="32">
        <f>F188+I188+L188+O188</f>
        <v>61</v>
      </c>
      <c r="Q188" s="98"/>
      <c r="R188" s="98"/>
      <c r="IP188" s="100"/>
      <c r="IQ188" s="100"/>
      <c r="IR188" s="100"/>
      <c r="IS188" s="100"/>
      <c r="IT188" s="100"/>
    </row>
    <row r="189" spans="1:254" s="99" customFormat="1" ht="16.5" customHeight="1" hidden="1">
      <c r="A189" s="41"/>
      <c r="B189" s="46"/>
      <c r="C189" s="83"/>
      <c r="D189" s="83"/>
      <c r="E189" s="84"/>
      <c r="F189" s="32"/>
      <c r="G189" s="83"/>
      <c r="H189" s="84"/>
      <c r="I189" s="32"/>
      <c r="J189" s="83"/>
      <c r="K189" s="84"/>
      <c r="L189" s="32">
        <f>J189+K189</f>
        <v>0</v>
      </c>
      <c r="M189" s="83"/>
      <c r="N189" s="84"/>
      <c r="O189" s="32">
        <f>M189+N189</f>
        <v>0</v>
      </c>
      <c r="P189" s="32"/>
      <c r="Q189" s="98"/>
      <c r="R189" s="98"/>
      <c r="IP189" s="100"/>
      <c r="IQ189" s="100"/>
      <c r="IR189" s="100"/>
      <c r="IS189" s="100"/>
      <c r="IT189" s="100"/>
    </row>
    <row r="190" spans="1:254" s="99" customFormat="1" ht="16.5" customHeight="1" hidden="1">
      <c r="A190" s="42"/>
      <c r="B190" s="120"/>
      <c r="C190" s="116" t="s">
        <v>51</v>
      </c>
      <c r="D190" s="116">
        <f aca="true" t="shared" si="37" ref="D190:O190">D191+D193</f>
        <v>10</v>
      </c>
      <c r="E190" s="117">
        <f t="shared" si="37"/>
        <v>0</v>
      </c>
      <c r="F190" s="116">
        <f t="shared" si="37"/>
        <v>10</v>
      </c>
      <c r="G190" s="116">
        <f t="shared" si="37"/>
        <v>210</v>
      </c>
      <c r="H190" s="117">
        <f>H191+H193+H192</f>
        <v>0</v>
      </c>
      <c r="I190" s="116">
        <f t="shared" si="37"/>
        <v>25</v>
      </c>
      <c r="J190" s="116">
        <f t="shared" si="37"/>
        <v>160</v>
      </c>
      <c r="K190" s="117">
        <f>K191+K193+K192</f>
        <v>0</v>
      </c>
      <c r="L190" s="116">
        <f t="shared" si="37"/>
        <v>26</v>
      </c>
      <c r="M190" s="116">
        <f t="shared" si="37"/>
        <v>0</v>
      </c>
      <c r="N190" s="117">
        <f t="shared" si="37"/>
        <v>0</v>
      </c>
      <c r="O190" s="116">
        <f t="shared" si="37"/>
        <v>0</v>
      </c>
      <c r="P190" s="116">
        <f>P191+P192+P193</f>
        <v>380</v>
      </c>
      <c r="Q190" s="98"/>
      <c r="R190" s="98"/>
      <c r="IP190" s="100"/>
      <c r="IQ190" s="100"/>
      <c r="IR190" s="100"/>
      <c r="IS190" s="100"/>
      <c r="IT190" s="100"/>
    </row>
    <row r="191" spans="1:254" s="99" customFormat="1" ht="16.5" customHeight="1" hidden="1">
      <c r="A191" s="41" t="s">
        <v>61</v>
      </c>
      <c r="B191" s="118" t="s">
        <v>67</v>
      </c>
      <c r="C191" s="83">
        <f>D191+G191+J191+M191</f>
        <v>319</v>
      </c>
      <c r="D191" s="83">
        <f aca="true" t="shared" si="38" ref="D191:O191">D186</f>
        <v>9</v>
      </c>
      <c r="E191" s="83">
        <f t="shared" si="38"/>
        <v>0</v>
      </c>
      <c r="F191" s="83">
        <f t="shared" si="38"/>
        <v>9</v>
      </c>
      <c r="G191" s="83">
        <f t="shared" si="38"/>
        <v>176</v>
      </c>
      <c r="H191" s="83">
        <f t="shared" si="38"/>
        <v>-185</v>
      </c>
      <c r="I191" s="83">
        <f>G191+H191</f>
        <v>-9</v>
      </c>
      <c r="J191" s="83">
        <f t="shared" si="38"/>
        <v>134</v>
      </c>
      <c r="K191" s="83">
        <f t="shared" si="38"/>
        <v>-134</v>
      </c>
      <c r="L191" s="83">
        <f>J191+K191</f>
        <v>0</v>
      </c>
      <c r="M191" s="83">
        <f t="shared" si="38"/>
        <v>0</v>
      </c>
      <c r="N191" s="83">
        <f t="shared" si="38"/>
        <v>0</v>
      </c>
      <c r="O191" s="83">
        <f t="shared" si="38"/>
        <v>0</v>
      </c>
      <c r="P191" s="83">
        <f>F191+I191+L191+O191</f>
        <v>0</v>
      </c>
      <c r="Q191" s="98"/>
      <c r="R191" s="98"/>
      <c r="IP191" s="100"/>
      <c r="IQ191" s="100"/>
      <c r="IR191" s="100"/>
      <c r="IS191" s="100"/>
      <c r="IT191" s="100"/>
    </row>
    <row r="192" spans="1:254" s="99" customFormat="1" ht="16.5" customHeight="1" hidden="1">
      <c r="A192" s="41" t="s">
        <v>62</v>
      </c>
      <c r="B192" s="118" t="s">
        <v>65</v>
      </c>
      <c r="C192" s="83">
        <f>D192+G192+J192+M192</f>
        <v>0</v>
      </c>
      <c r="D192" s="83"/>
      <c r="E192" s="83"/>
      <c r="F192" s="83"/>
      <c r="G192" s="83"/>
      <c r="H192" s="83">
        <v>185</v>
      </c>
      <c r="I192" s="83">
        <f>G192+H192</f>
        <v>185</v>
      </c>
      <c r="J192" s="83"/>
      <c r="K192" s="83">
        <v>134</v>
      </c>
      <c r="L192" s="83">
        <f>J192+K192</f>
        <v>134</v>
      </c>
      <c r="M192" s="83"/>
      <c r="N192" s="83"/>
      <c r="O192" s="83"/>
      <c r="P192" s="83">
        <f>F192+I192+L192+O192</f>
        <v>319</v>
      </c>
      <c r="Q192" s="98"/>
      <c r="R192" s="98"/>
      <c r="IP192" s="100"/>
      <c r="IQ192" s="100"/>
      <c r="IR192" s="100"/>
      <c r="IS192" s="100"/>
      <c r="IT192" s="100"/>
    </row>
    <row r="193" spans="1:254" s="99" customFormat="1" ht="16.5" customHeight="1" hidden="1">
      <c r="A193" s="41" t="s">
        <v>63</v>
      </c>
      <c r="B193" s="118" t="s">
        <v>68</v>
      </c>
      <c r="C193" s="83">
        <f>D193+G193+J193+M193</f>
        <v>61</v>
      </c>
      <c r="D193" s="83">
        <f aca="true" t="shared" si="39" ref="D193:O193">D188</f>
        <v>1</v>
      </c>
      <c r="E193" s="83">
        <f t="shared" si="39"/>
        <v>0</v>
      </c>
      <c r="F193" s="83">
        <f t="shared" si="39"/>
        <v>1</v>
      </c>
      <c r="G193" s="83">
        <f t="shared" si="39"/>
        <v>34</v>
      </c>
      <c r="H193" s="83">
        <f t="shared" si="39"/>
        <v>0</v>
      </c>
      <c r="I193" s="83">
        <f>G193+H193</f>
        <v>34</v>
      </c>
      <c r="J193" s="83">
        <f t="shared" si="39"/>
        <v>26</v>
      </c>
      <c r="K193" s="83">
        <f t="shared" si="39"/>
        <v>0</v>
      </c>
      <c r="L193" s="83">
        <f>J193+K193</f>
        <v>26</v>
      </c>
      <c r="M193" s="83">
        <f t="shared" si="39"/>
        <v>0</v>
      </c>
      <c r="N193" s="83">
        <f t="shared" si="39"/>
        <v>0</v>
      </c>
      <c r="O193" s="83">
        <f t="shared" si="39"/>
        <v>0</v>
      </c>
      <c r="P193" s="83">
        <f>F193+I193+L193+O193</f>
        <v>61</v>
      </c>
      <c r="Q193" s="98"/>
      <c r="R193" s="98"/>
      <c r="IP193" s="100"/>
      <c r="IQ193" s="100"/>
      <c r="IR193" s="100"/>
      <c r="IS193" s="100"/>
      <c r="IT193" s="100"/>
    </row>
    <row r="194" spans="1:254" s="99" customFormat="1" ht="30.75" customHeight="1">
      <c r="A194" s="121" t="s">
        <v>47</v>
      </c>
      <c r="B194" s="122" t="s">
        <v>71</v>
      </c>
      <c r="C194" s="44">
        <f aca="true" t="shared" si="40" ref="C194:P194">C195+C197</f>
        <v>966</v>
      </c>
      <c r="D194" s="44">
        <f t="shared" si="40"/>
        <v>7</v>
      </c>
      <c r="E194" s="45">
        <f t="shared" si="40"/>
        <v>0</v>
      </c>
      <c r="F194" s="44">
        <f t="shared" si="40"/>
        <v>7</v>
      </c>
      <c r="G194" s="44">
        <f t="shared" si="40"/>
        <v>325</v>
      </c>
      <c r="H194" s="45">
        <f t="shared" si="40"/>
        <v>0</v>
      </c>
      <c r="I194" s="44">
        <f t="shared" si="40"/>
        <v>325</v>
      </c>
      <c r="J194" s="44">
        <f t="shared" si="40"/>
        <v>634</v>
      </c>
      <c r="K194" s="45">
        <f t="shared" si="40"/>
        <v>0</v>
      </c>
      <c r="L194" s="44">
        <f t="shared" si="40"/>
        <v>634</v>
      </c>
      <c r="M194" s="44">
        <f t="shared" si="40"/>
        <v>0</v>
      </c>
      <c r="N194" s="45">
        <f t="shared" si="40"/>
        <v>0</v>
      </c>
      <c r="O194" s="44">
        <f t="shared" si="40"/>
        <v>0</v>
      </c>
      <c r="P194" s="44">
        <f t="shared" si="40"/>
        <v>966</v>
      </c>
      <c r="Q194" s="98"/>
      <c r="R194" s="98"/>
      <c r="IP194" s="100"/>
      <c r="IQ194" s="100"/>
      <c r="IR194" s="100"/>
      <c r="IS194" s="100"/>
      <c r="IT194" s="100"/>
    </row>
    <row r="195" spans="1:254" s="99" customFormat="1" ht="16.5" customHeight="1">
      <c r="A195" s="46" t="s">
        <v>58</v>
      </c>
      <c r="B195" s="119" t="s">
        <v>22</v>
      </c>
      <c r="C195" s="83">
        <f>F195+I195+L195+O195</f>
        <v>812</v>
      </c>
      <c r="D195" s="83">
        <v>6</v>
      </c>
      <c r="E195" s="84"/>
      <c r="F195" s="32">
        <f>D195+E195</f>
        <v>6</v>
      </c>
      <c r="G195" s="83">
        <v>273</v>
      </c>
      <c r="H195" s="84"/>
      <c r="I195" s="32">
        <f>G195+H195</f>
        <v>273</v>
      </c>
      <c r="J195" s="83">
        <v>533</v>
      </c>
      <c r="K195" s="84"/>
      <c r="L195" s="32">
        <f>J195+K195</f>
        <v>533</v>
      </c>
      <c r="M195" s="83">
        <v>0</v>
      </c>
      <c r="N195" s="84">
        <v>0</v>
      </c>
      <c r="O195" s="32">
        <f>M195+N195</f>
        <v>0</v>
      </c>
      <c r="P195" s="32">
        <f>F195+I195+L195+O195</f>
        <v>812</v>
      </c>
      <c r="Q195" s="98"/>
      <c r="R195" s="98"/>
      <c r="IP195" s="100"/>
      <c r="IQ195" s="100"/>
      <c r="IR195" s="100"/>
      <c r="IS195" s="100"/>
      <c r="IT195" s="100"/>
    </row>
    <row r="196" spans="1:254" s="99" customFormat="1" ht="16.5" customHeight="1">
      <c r="A196" s="46"/>
      <c r="B196" s="119"/>
      <c r="C196" s="83"/>
      <c r="D196" s="83"/>
      <c r="E196" s="84"/>
      <c r="F196" s="32"/>
      <c r="G196" s="83"/>
      <c r="H196" s="84"/>
      <c r="I196" s="32"/>
      <c r="J196" s="83"/>
      <c r="K196" s="84"/>
      <c r="L196" s="32"/>
      <c r="M196" s="83"/>
      <c r="N196" s="84"/>
      <c r="O196" s="32"/>
      <c r="P196" s="32"/>
      <c r="Q196" s="98"/>
      <c r="R196" s="98"/>
      <c r="IP196" s="100"/>
      <c r="IQ196" s="100"/>
      <c r="IR196" s="100"/>
      <c r="IS196" s="100"/>
      <c r="IT196" s="100"/>
    </row>
    <row r="197" spans="1:254" s="99" customFormat="1" ht="16.5" customHeight="1">
      <c r="A197" s="41" t="s">
        <v>60</v>
      </c>
      <c r="B197" s="119" t="s">
        <v>26</v>
      </c>
      <c r="C197" s="83">
        <f>F197+I197+L197+O197</f>
        <v>154</v>
      </c>
      <c r="D197" s="83">
        <v>1</v>
      </c>
      <c r="E197" s="84"/>
      <c r="F197" s="32">
        <f>D197+E197</f>
        <v>1</v>
      </c>
      <c r="G197" s="83">
        <v>52</v>
      </c>
      <c r="H197" s="84"/>
      <c r="I197" s="32">
        <f>G197+H197</f>
        <v>52</v>
      </c>
      <c r="J197" s="83">
        <v>101</v>
      </c>
      <c r="K197" s="84"/>
      <c r="L197" s="32">
        <f>J197+K197</f>
        <v>101</v>
      </c>
      <c r="M197" s="83">
        <v>0</v>
      </c>
      <c r="N197" s="84">
        <v>0</v>
      </c>
      <c r="O197" s="32">
        <f>M197+N197</f>
        <v>0</v>
      </c>
      <c r="P197" s="32">
        <f>F197+I197+L197+O197</f>
        <v>154</v>
      </c>
      <c r="Q197" s="98"/>
      <c r="R197" s="98"/>
      <c r="IP197" s="100"/>
      <c r="IQ197" s="100"/>
      <c r="IR197" s="100"/>
      <c r="IS197" s="100"/>
      <c r="IT197" s="100"/>
    </row>
    <row r="198" spans="1:254" s="99" customFormat="1" ht="16.5" customHeight="1" hidden="1">
      <c r="A198" s="41"/>
      <c r="B198" s="46"/>
      <c r="C198" s="83"/>
      <c r="D198" s="83"/>
      <c r="E198" s="84"/>
      <c r="F198" s="32"/>
      <c r="G198" s="83"/>
      <c r="H198" s="84"/>
      <c r="I198" s="32"/>
      <c r="J198" s="83"/>
      <c r="K198" s="84"/>
      <c r="L198" s="32">
        <f>J198+K198</f>
        <v>0</v>
      </c>
      <c r="M198" s="83"/>
      <c r="N198" s="84"/>
      <c r="O198" s="32">
        <f>M198+N198</f>
        <v>0</v>
      </c>
      <c r="P198" s="32"/>
      <c r="Q198" s="98"/>
      <c r="R198" s="98"/>
      <c r="IP198" s="100"/>
      <c r="IQ198" s="100"/>
      <c r="IR198" s="100"/>
      <c r="IS198" s="100"/>
      <c r="IT198" s="100"/>
    </row>
    <row r="199" spans="1:254" s="99" customFormat="1" ht="16.5" customHeight="1" hidden="1">
      <c r="A199" s="42"/>
      <c r="B199" s="120"/>
      <c r="C199" s="116">
        <f aca="true" t="shared" si="41" ref="C199:P199">C200+C202</f>
        <v>966</v>
      </c>
      <c r="D199" s="116">
        <f t="shared" si="41"/>
        <v>7</v>
      </c>
      <c r="E199" s="117">
        <f t="shared" si="41"/>
        <v>0</v>
      </c>
      <c r="F199" s="116">
        <f t="shared" si="41"/>
        <v>7</v>
      </c>
      <c r="G199" s="116">
        <f t="shared" si="41"/>
        <v>325</v>
      </c>
      <c r="H199" s="117">
        <f t="shared" si="41"/>
        <v>0</v>
      </c>
      <c r="I199" s="116">
        <f t="shared" si="41"/>
        <v>325</v>
      </c>
      <c r="J199" s="116">
        <f t="shared" si="41"/>
        <v>634</v>
      </c>
      <c r="K199" s="117">
        <f t="shared" si="41"/>
        <v>0</v>
      </c>
      <c r="L199" s="116">
        <f t="shared" si="41"/>
        <v>634</v>
      </c>
      <c r="M199" s="116">
        <f t="shared" si="41"/>
        <v>0</v>
      </c>
      <c r="N199" s="117">
        <f t="shared" si="41"/>
        <v>0</v>
      </c>
      <c r="O199" s="116">
        <f t="shared" si="41"/>
        <v>0</v>
      </c>
      <c r="P199" s="116">
        <f t="shared" si="41"/>
        <v>966</v>
      </c>
      <c r="Q199" s="98"/>
      <c r="R199" s="98"/>
      <c r="IP199" s="100"/>
      <c r="IQ199" s="100"/>
      <c r="IR199" s="100"/>
      <c r="IS199" s="100"/>
      <c r="IT199" s="100"/>
    </row>
    <row r="200" spans="1:254" s="99" customFormat="1" ht="16.5" customHeight="1" hidden="1">
      <c r="A200" s="41" t="s">
        <v>61</v>
      </c>
      <c r="B200" s="118" t="s">
        <v>67</v>
      </c>
      <c r="C200" s="83">
        <f>F200+I200+L200+O200</f>
        <v>812</v>
      </c>
      <c r="D200" s="83">
        <f aca="true" t="shared" si="42" ref="D200:P200">D195</f>
        <v>6</v>
      </c>
      <c r="E200" s="83">
        <f t="shared" si="42"/>
        <v>0</v>
      </c>
      <c r="F200" s="83">
        <f t="shared" si="42"/>
        <v>6</v>
      </c>
      <c r="G200" s="83">
        <f t="shared" si="42"/>
        <v>273</v>
      </c>
      <c r="H200" s="83">
        <f t="shared" si="42"/>
        <v>0</v>
      </c>
      <c r="I200" s="83">
        <f t="shared" si="42"/>
        <v>273</v>
      </c>
      <c r="J200" s="83">
        <f t="shared" si="42"/>
        <v>533</v>
      </c>
      <c r="K200" s="83">
        <f t="shared" si="42"/>
        <v>0</v>
      </c>
      <c r="L200" s="83">
        <f t="shared" si="42"/>
        <v>533</v>
      </c>
      <c r="M200" s="83">
        <f t="shared" si="42"/>
        <v>0</v>
      </c>
      <c r="N200" s="83">
        <f t="shared" si="42"/>
        <v>0</v>
      </c>
      <c r="O200" s="83">
        <f t="shared" si="42"/>
        <v>0</v>
      </c>
      <c r="P200" s="83">
        <f t="shared" si="42"/>
        <v>812</v>
      </c>
      <c r="Q200" s="98"/>
      <c r="R200" s="98"/>
      <c r="IP200" s="100"/>
      <c r="IQ200" s="100"/>
      <c r="IR200" s="100"/>
      <c r="IS200" s="100"/>
      <c r="IT200" s="100"/>
    </row>
    <row r="201" spans="1:254" s="99" customFormat="1" ht="16.5" customHeight="1" hidden="1">
      <c r="A201" s="41" t="s">
        <v>62</v>
      </c>
      <c r="B201" s="118" t="s">
        <v>65</v>
      </c>
      <c r="C201" s="83"/>
      <c r="D201" s="83"/>
      <c r="E201" s="83"/>
      <c r="F201" s="83"/>
      <c r="G201" s="83"/>
      <c r="H201" s="83"/>
      <c r="I201" s="83"/>
      <c r="J201" s="83"/>
      <c r="K201" s="83"/>
      <c r="L201" s="83"/>
      <c r="M201" s="83"/>
      <c r="N201" s="83"/>
      <c r="O201" s="83"/>
      <c r="P201" s="83"/>
      <c r="Q201" s="98"/>
      <c r="R201" s="98"/>
      <c r="IP201" s="100"/>
      <c r="IQ201" s="100"/>
      <c r="IR201" s="100"/>
      <c r="IS201" s="100"/>
      <c r="IT201" s="100"/>
    </row>
    <row r="202" spans="1:254" s="99" customFormat="1" ht="16.5" customHeight="1" hidden="1">
      <c r="A202" s="41" t="s">
        <v>63</v>
      </c>
      <c r="B202" s="118" t="s">
        <v>68</v>
      </c>
      <c r="C202" s="83">
        <f>F202+I202+L202+O202</f>
        <v>154</v>
      </c>
      <c r="D202" s="83">
        <f aca="true" t="shared" si="43" ref="D202:P202">D197</f>
        <v>1</v>
      </c>
      <c r="E202" s="83">
        <f t="shared" si="43"/>
        <v>0</v>
      </c>
      <c r="F202" s="83">
        <f t="shared" si="43"/>
        <v>1</v>
      </c>
      <c r="G202" s="83">
        <f t="shared" si="43"/>
        <v>52</v>
      </c>
      <c r="H202" s="83">
        <f t="shared" si="43"/>
        <v>0</v>
      </c>
      <c r="I202" s="83">
        <f t="shared" si="43"/>
        <v>52</v>
      </c>
      <c r="J202" s="83">
        <f t="shared" si="43"/>
        <v>101</v>
      </c>
      <c r="K202" s="83">
        <f t="shared" si="43"/>
        <v>0</v>
      </c>
      <c r="L202" s="83">
        <f t="shared" si="43"/>
        <v>101</v>
      </c>
      <c r="M202" s="83">
        <f t="shared" si="43"/>
        <v>0</v>
      </c>
      <c r="N202" s="83">
        <f t="shared" si="43"/>
        <v>0</v>
      </c>
      <c r="O202" s="83">
        <f t="shared" si="43"/>
        <v>0</v>
      </c>
      <c r="P202" s="83">
        <f t="shared" si="43"/>
        <v>154</v>
      </c>
      <c r="Q202" s="98"/>
      <c r="R202" s="98"/>
      <c r="IP202" s="100"/>
      <c r="IQ202" s="100"/>
      <c r="IR202" s="100"/>
      <c r="IS202" s="100"/>
      <c r="IT202" s="100"/>
    </row>
    <row r="203" spans="1:254" s="99" customFormat="1" ht="31.5" customHeight="1">
      <c r="A203" s="121" t="s">
        <v>47</v>
      </c>
      <c r="B203" s="122" t="s">
        <v>72</v>
      </c>
      <c r="C203" s="44">
        <f>C204+C205+C206</f>
        <v>709</v>
      </c>
      <c r="D203" s="44">
        <f>D204+D205+D206</f>
        <v>7</v>
      </c>
      <c r="E203" s="45">
        <f>E204+E205+E206</f>
        <v>0</v>
      </c>
      <c r="F203" s="45">
        <f>F204+F205+F206</f>
        <v>7</v>
      </c>
      <c r="G203" s="45">
        <f aca="true" t="shared" si="44" ref="G203:N203">G204+G205+G206</f>
        <v>238</v>
      </c>
      <c r="H203" s="45">
        <f t="shared" si="44"/>
        <v>0</v>
      </c>
      <c r="I203" s="45">
        <f t="shared" si="44"/>
        <v>238</v>
      </c>
      <c r="J203" s="45">
        <f t="shared" si="44"/>
        <v>464</v>
      </c>
      <c r="K203" s="45">
        <f t="shared" si="44"/>
        <v>0</v>
      </c>
      <c r="L203" s="45">
        <f t="shared" si="44"/>
        <v>464</v>
      </c>
      <c r="M203" s="45">
        <f t="shared" si="44"/>
        <v>0</v>
      </c>
      <c r="N203" s="45">
        <f t="shared" si="44"/>
        <v>0</v>
      </c>
      <c r="O203" s="45">
        <f>O204+O205+O206</f>
        <v>0</v>
      </c>
      <c r="P203" s="45">
        <f>P204+P205+P206</f>
        <v>709</v>
      </c>
      <c r="Q203" s="98"/>
      <c r="R203" s="98"/>
      <c r="IP203" s="100"/>
      <c r="IQ203" s="100"/>
      <c r="IR203" s="100"/>
      <c r="IS203" s="100"/>
      <c r="IT203" s="100"/>
    </row>
    <row r="204" spans="1:254" s="99" customFormat="1" ht="16.5" customHeight="1">
      <c r="A204" s="46" t="s">
        <v>58</v>
      </c>
      <c r="B204" s="119" t="s">
        <v>22</v>
      </c>
      <c r="C204" s="83">
        <f>D204+G204+J204+M204</f>
        <v>596</v>
      </c>
      <c r="D204" s="83">
        <v>6</v>
      </c>
      <c r="E204" s="83">
        <f>E199</f>
        <v>0</v>
      </c>
      <c r="F204" s="83">
        <v>6</v>
      </c>
      <c r="G204" s="83">
        <v>200</v>
      </c>
      <c r="H204" s="83">
        <v>-206</v>
      </c>
      <c r="I204" s="83">
        <v>-6</v>
      </c>
      <c r="J204" s="83">
        <v>390</v>
      </c>
      <c r="K204" s="83">
        <v>-390</v>
      </c>
      <c r="L204" s="83">
        <v>0</v>
      </c>
      <c r="M204" s="83">
        <f>M199</f>
        <v>0</v>
      </c>
      <c r="N204" s="83">
        <f>N199</f>
        <v>0</v>
      </c>
      <c r="O204" s="83">
        <f>O199</f>
        <v>0</v>
      </c>
      <c r="P204" s="83">
        <f>F204+I204+L204+O204</f>
        <v>0</v>
      </c>
      <c r="Q204" s="98"/>
      <c r="R204" s="98"/>
      <c r="IP204" s="100"/>
      <c r="IQ204" s="100"/>
      <c r="IR204" s="100"/>
      <c r="IS204" s="100"/>
      <c r="IT204" s="100"/>
    </row>
    <row r="205" spans="1:254" s="99" customFormat="1" ht="16.5" customHeight="1">
      <c r="A205" s="46" t="s">
        <v>59</v>
      </c>
      <c r="B205" s="119" t="s">
        <v>29</v>
      </c>
      <c r="C205" s="83">
        <f>D205+G205+J205+M205</f>
        <v>0</v>
      </c>
      <c r="D205" s="83">
        <v>0</v>
      </c>
      <c r="E205" s="83">
        <v>0</v>
      </c>
      <c r="F205" s="83">
        <v>0</v>
      </c>
      <c r="G205" s="83">
        <v>0</v>
      </c>
      <c r="H205" s="83">
        <v>206</v>
      </c>
      <c r="I205" s="83">
        <f>H205</f>
        <v>206</v>
      </c>
      <c r="J205" s="83">
        <v>0</v>
      </c>
      <c r="K205" s="83">
        <v>390</v>
      </c>
      <c r="L205" s="83">
        <f>J205+K205</f>
        <v>390</v>
      </c>
      <c r="M205" s="83">
        <v>0</v>
      </c>
      <c r="N205" s="83">
        <v>0</v>
      </c>
      <c r="O205" s="83">
        <v>0</v>
      </c>
      <c r="P205" s="83">
        <f>F205+I205+L205+O205</f>
        <v>596</v>
      </c>
      <c r="Q205" s="98"/>
      <c r="R205" s="98"/>
      <c r="IP205" s="100"/>
      <c r="IQ205" s="100"/>
      <c r="IR205" s="100"/>
      <c r="IS205" s="100"/>
      <c r="IT205" s="100"/>
    </row>
    <row r="206" spans="1:254" s="99" customFormat="1" ht="16.5" customHeight="1">
      <c r="A206" s="41" t="s">
        <v>60</v>
      </c>
      <c r="B206" s="119" t="s">
        <v>26</v>
      </c>
      <c r="C206" s="83">
        <f>D206+G206+J206+M206</f>
        <v>113</v>
      </c>
      <c r="D206" s="83">
        <v>1</v>
      </c>
      <c r="E206" s="83">
        <f>E200</f>
        <v>0</v>
      </c>
      <c r="F206" s="83">
        <v>1</v>
      </c>
      <c r="G206" s="83">
        <v>38</v>
      </c>
      <c r="H206" s="83">
        <f>H200</f>
        <v>0</v>
      </c>
      <c r="I206" s="83">
        <v>38</v>
      </c>
      <c r="J206" s="83">
        <v>74</v>
      </c>
      <c r="K206" s="83">
        <f>K200</f>
        <v>0</v>
      </c>
      <c r="L206" s="83">
        <v>74</v>
      </c>
      <c r="M206" s="83">
        <f>M200</f>
        <v>0</v>
      </c>
      <c r="N206" s="83">
        <f>N200</f>
        <v>0</v>
      </c>
      <c r="O206" s="83">
        <f>O200</f>
        <v>0</v>
      </c>
      <c r="P206" s="83">
        <f>F206+I206+L206+O206</f>
        <v>113</v>
      </c>
      <c r="Q206" s="98"/>
      <c r="R206" s="98"/>
      <c r="IP206" s="100"/>
      <c r="IQ206" s="100"/>
      <c r="IR206" s="100"/>
      <c r="IS206" s="100"/>
      <c r="IT206" s="100"/>
    </row>
    <row r="207" spans="1:254" s="99" customFormat="1" ht="16.5" customHeight="1" hidden="1">
      <c r="A207" s="41"/>
      <c r="B207" s="46"/>
      <c r="C207" s="83"/>
      <c r="D207" s="83"/>
      <c r="E207" s="84"/>
      <c r="F207" s="83"/>
      <c r="G207" s="83"/>
      <c r="H207" s="84"/>
      <c r="I207" s="83"/>
      <c r="J207" s="83"/>
      <c r="K207" s="84"/>
      <c r="L207" s="83"/>
      <c r="M207" s="83"/>
      <c r="N207" s="84"/>
      <c r="O207" s="83"/>
      <c r="P207" s="83"/>
      <c r="Q207" s="98"/>
      <c r="R207" s="98"/>
      <c r="IP207" s="100"/>
      <c r="IQ207" s="100"/>
      <c r="IR207" s="100"/>
      <c r="IS207" s="100"/>
      <c r="IT207" s="100"/>
    </row>
    <row r="208" spans="1:254" s="99" customFormat="1" ht="16.5" customHeight="1" hidden="1">
      <c r="A208" s="42"/>
      <c r="B208" s="120"/>
      <c r="C208" s="44">
        <f>C209+C210+C211</f>
        <v>709</v>
      </c>
      <c r="D208" s="44">
        <f>D209+D210+D211</f>
        <v>7</v>
      </c>
      <c r="E208" s="44">
        <f aca="true" t="shared" si="45" ref="E208:P208">E209+E210+E211</f>
        <v>0</v>
      </c>
      <c r="F208" s="44">
        <f t="shared" si="45"/>
        <v>7</v>
      </c>
      <c r="G208" s="44">
        <f t="shared" si="45"/>
        <v>238</v>
      </c>
      <c r="H208" s="44">
        <f t="shared" si="45"/>
        <v>0</v>
      </c>
      <c r="I208" s="44">
        <f t="shared" si="45"/>
        <v>238</v>
      </c>
      <c r="J208" s="44">
        <f t="shared" si="45"/>
        <v>464</v>
      </c>
      <c r="K208" s="44">
        <f t="shared" si="45"/>
        <v>0</v>
      </c>
      <c r="L208" s="44">
        <f t="shared" si="45"/>
        <v>464</v>
      </c>
      <c r="M208" s="44">
        <f t="shared" si="45"/>
        <v>0</v>
      </c>
      <c r="N208" s="44">
        <f t="shared" si="45"/>
        <v>0</v>
      </c>
      <c r="O208" s="44">
        <f t="shared" si="45"/>
        <v>0</v>
      </c>
      <c r="P208" s="44">
        <f t="shared" si="45"/>
        <v>709</v>
      </c>
      <c r="Q208" s="98"/>
      <c r="R208" s="98"/>
      <c r="IP208" s="100"/>
      <c r="IQ208" s="100"/>
      <c r="IR208" s="100"/>
      <c r="IS208" s="100"/>
      <c r="IT208" s="100"/>
    </row>
    <row r="209" spans="1:254" s="99" customFormat="1" ht="16.5" customHeight="1" hidden="1">
      <c r="A209" s="41" t="s">
        <v>61</v>
      </c>
      <c r="B209" s="118" t="s">
        <v>67</v>
      </c>
      <c r="C209" s="83">
        <f>D209+G209+J209+M209</f>
        <v>596</v>
      </c>
      <c r="D209" s="83">
        <f aca="true" t="shared" si="46" ref="D209:O209">D204</f>
        <v>6</v>
      </c>
      <c r="E209" s="83">
        <f t="shared" si="46"/>
        <v>0</v>
      </c>
      <c r="F209" s="83">
        <f t="shared" si="46"/>
        <v>6</v>
      </c>
      <c r="G209" s="83">
        <f t="shared" si="46"/>
        <v>200</v>
      </c>
      <c r="H209" s="83">
        <f t="shared" si="46"/>
        <v>-206</v>
      </c>
      <c r="I209" s="83">
        <f t="shared" si="46"/>
        <v>-6</v>
      </c>
      <c r="J209" s="83">
        <f t="shared" si="46"/>
        <v>390</v>
      </c>
      <c r="K209" s="83">
        <f t="shared" si="46"/>
        <v>-390</v>
      </c>
      <c r="L209" s="83">
        <f t="shared" si="46"/>
        <v>0</v>
      </c>
      <c r="M209" s="83">
        <f t="shared" si="46"/>
        <v>0</v>
      </c>
      <c r="N209" s="83">
        <f t="shared" si="46"/>
        <v>0</v>
      </c>
      <c r="O209" s="83">
        <f t="shared" si="46"/>
        <v>0</v>
      </c>
      <c r="P209" s="83">
        <f>F209+I209+L209+O209</f>
        <v>0</v>
      </c>
      <c r="Q209" s="98"/>
      <c r="R209" s="98"/>
      <c r="IP209" s="100"/>
      <c r="IQ209" s="100"/>
      <c r="IR209" s="100"/>
      <c r="IS209" s="100"/>
      <c r="IT209" s="100"/>
    </row>
    <row r="210" spans="1:254" s="99" customFormat="1" ht="16.5" customHeight="1" hidden="1">
      <c r="A210" s="41" t="s">
        <v>62</v>
      </c>
      <c r="B210" s="118" t="s">
        <v>65</v>
      </c>
      <c r="C210" s="83">
        <f>D210+G210+J210+M210</f>
        <v>0</v>
      </c>
      <c r="D210" s="83">
        <v>0</v>
      </c>
      <c r="E210" s="83">
        <v>0</v>
      </c>
      <c r="F210" s="83">
        <v>0</v>
      </c>
      <c r="G210" s="83">
        <v>0</v>
      </c>
      <c r="H210" s="83">
        <v>206</v>
      </c>
      <c r="I210" s="83">
        <v>206</v>
      </c>
      <c r="J210" s="83">
        <v>0</v>
      </c>
      <c r="K210" s="83">
        <v>390</v>
      </c>
      <c r="L210" s="83">
        <v>390</v>
      </c>
      <c r="M210" s="83">
        <v>0</v>
      </c>
      <c r="N210" s="83">
        <v>0</v>
      </c>
      <c r="O210" s="83">
        <v>0</v>
      </c>
      <c r="P210" s="83">
        <f>F210+I210+L210+O210</f>
        <v>596</v>
      </c>
      <c r="Q210" s="98"/>
      <c r="R210" s="98"/>
      <c r="IP210" s="100"/>
      <c r="IQ210" s="100"/>
      <c r="IR210" s="100"/>
      <c r="IS210" s="100"/>
      <c r="IT210" s="100"/>
    </row>
    <row r="211" spans="1:254" s="99" customFormat="1" ht="16.5" customHeight="1" hidden="1">
      <c r="A211" s="41" t="s">
        <v>63</v>
      </c>
      <c r="B211" s="118" t="s">
        <v>68</v>
      </c>
      <c r="C211" s="83">
        <f>D211+G211+J211+M211</f>
        <v>113</v>
      </c>
      <c r="D211" s="83">
        <f aca="true" t="shared" si="47" ref="D211:O211">D206</f>
        <v>1</v>
      </c>
      <c r="E211" s="83">
        <f t="shared" si="47"/>
        <v>0</v>
      </c>
      <c r="F211" s="83">
        <f t="shared" si="47"/>
        <v>1</v>
      </c>
      <c r="G211" s="83">
        <f t="shared" si="47"/>
        <v>38</v>
      </c>
      <c r="H211" s="83">
        <f t="shared" si="47"/>
        <v>0</v>
      </c>
      <c r="I211" s="83">
        <f t="shared" si="47"/>
        <v>38</v>
      </c>
      <c r="J211" s="83">
        <f t="shared" si="47"/>
        <v>74</v>
      </c>
      <c r="K211" s="83">
        <f t="shared" si="47"/>
        <v>0</v>
      </c>
      <c r="L211" s="83">
        <f t="shared" si="47"/>
        <v>74</v>
      </c>
      <c r="M211" s="83">
        <f t="shared" si="47"/>
        <v>0</v>
      </c>
      <c r="N211" s="83">
        <f t="shared" si="47"/>
        <v>0</v>
      </c>
      <c r="O211" s="83">
        <f t="shared" si="47"/>
        <v>0</v>
      </c>
      <c r="P211" s="83">
        <f>F211+I211+L211+O211</f>
        <v>113</v>
      </c>
      <c r="Q211" s="98"/>
      <c r="R211" s="98"/>
      <c r="IP211" s="100"/>
      <c r="IQ211" s="100"/>
      <c r="IR211" s="100"/>
      <c r="IS211" s="100"/>
      <c r="IT211" s="100"/>
    </row>
    <row r="212" spans="1:254" s="99" customFormat="1" ht="33" customHeight="1">
      <c r="A212" s="121" t="s">
        <v>47</v>
      </c>
      <c r="B212" s="122" t="s">
        <v>73</v>
      </c>
      <c r="C212" s="44">
        <f aca="true" t="shared" si="48" ref="C212:P212">C213+C215</f>
        <v>650</v>
      </c>
      <c r="D212" s="44">
        <f t="shared" si="48"/>
        <v>6</v>
      </c>
      <c r="E212" s="45">
        <f t="shared" si="48"/>
        <v>0</v>
      </c>
      <c r="F212" s="44">
        <f t="shared" si="48"/>
        <v>6</v>
      </c>
      <c r="G212" s="44">
        <f t="shared" si="48"/>
        <v>218</v>
      </c>
      <c r="H212" s="45">
        <f t="shared" si="48"/>
        <v>0</v>
      </c>
      <c r="I212" s="44">
        <f t="shared" si="48"/>
        <v>218</v>
      </c>
      <c r="J212" s="44">
        <f t="shared" si="48"/>
        <v>426</v>
      </c>
      <c r="K212" s="45">
        <f t="shared" si="48"/>
        <v>0</v>
      </c>
      <c r="L212" s="44">
        <f t="shared" si="48"/>
        <v>426</v>
      </c>
      <c r="M212" s="44">
        <f t="shared" si="48"/>
        <v>0</v>
      </c>
      <c r="N212" s="45">
        <f t="shared" si="48"/>
        <v>0</v>
      </c>
      <c r="O212" s="44">
        <f t="shared" si="48"/>
        <v>0</v>
      </c>
      <c r="P212" s="44">
        <f t="shared" si="48"/>
        <v>650</v>
      </c>
      <c r="Q212" s="98"/>
      <c r="R212" s="98"/>
      <c r="IP212" s="100"/>
      <c r="IQ212" s="100"/>
      <c r="IR212" s="100"/>
      <c r="IS212" s="100"/>
      <c r="IT212" s="100"/>
    </row>
    <row r="213" spans="1:254" s="99" customFormat="1" ht="16.5" customHeight="1">
      <c r="A213" s="46" t="s">
        <v>58</v>
      </c>
      <c r="B213" s="119" t="s">
        <v>22</v>
      </c>
      <c r="C213" s="83">
        <f>F213+I213+L213+O213</f>
        <v>546</v>
      </c>
      <c r="D213" s="83">
        <v>5</v>
      </c>
      <c r="E213" s="84">
        <v>0</v>
      </c>
      <c r="F213" s="32">
        <f>D213+E213</f>
        <v>5</v>
      </c>
      <c r="G213" s="83">
        <v>183</v>
      </c>
      <c r="H213" s="84">
        <v>0</v>
      </c>
      <c r="I213" s="32">
        <f>G213+H213</f>
        <v>183</v>
      </c>
      <c r="J213" s="83">
        <v>358</v>
      </c>
      <c r="K213" s="84">
        <v>0</v>
      </c>
      <c r="L213" s="32">
        <f>J213+K213</f>
        <v>358</v>
      </c>
      <c r="M213" s="83">
        <v>0</v>
      </c>
      <c r="N213" s="84">
        <v>0</v>
      </c>
      <c r="O213" s="32">
        <f>M213+N213</f>
        <v>0</v>
      </c>
      <c r="P213" s="32">
        <f>F213+I213+L213+O213</f>
        <v>546</v>
      </c>
      <c r="Q213" s="98"/>
      <c r="R213" s="98"/>
      <c r="IP213" s="100"/>
      <c r="IQ213" s="100"/>
      <c r="IR213" s="100"/>
      <c r="IS213" s="100"/>
      <c r="IT213" s="100"/>
    </row>
    <row r="214" spans="1:254" s="99" customFormat="1" ht="16.5" customHeight="1">
      <c r="A214" s="46" t="s">
        <v>59</v>
      </c>
      <c r="B214" s="119" t="s">
        <v>29</v>
      </c>
      <c r="C214" s="83"/>
      <c r="D214" s="83">
        <v>0</v>
      </c>
      <c r="E214" s="84">
        <v>0</v>
      </c>
      <c r="F214" s="32">
        <v>0</v>
      </c>
      <c r="G214" s="83">
        <v>0</v>
      </c>
      <c r="H214" s="84">
        <v>0</v>
      </c>
      <c r="I214" s="32">
        <v>0</v>
      </c>
      <c r="J214" s="83">
        <v>0</v>
      </c>
      <c r="K214" s="84">
        <v>0</v>
      </c>
      <c r="L214" s="32">
        <v>0</v>
      </c>
      <c r="M214" s="83">
        <v>0</v>
      </c>
      <c r="N214" s="84">
        <v>0</v>
      </c>
      <c r="O214" s="32"/>
      <c r="P214" s="32"/>
      <c r="Q214" s="98"/>
      <c r="R214" s="98"/>
      <c r="IP214" s="100"/>
      <c r="IQ214" s="100"/>
      <c r="IR214" s="100"/>
      <c r="IS214" s="100"/>
      <c r="IT214" s="100"/>
    </row>
    <row r="215" spans="1:254" s="99" customFormat="1" ht="16.5" customHeight="1">
      <c r="A215" s="41" t="s">
        <v>60</v>
      </c>
      <c r="B215" s="119" t="s">
        <v>26</v>
      </c>
      <c r="C215" s="83">
        <f>F215+I215+L215+O215</f>
        <v>104</v>
      </c>
      <c r="D215" s="83">
        <v>1</v>
      </c>
      <c r="E215" s="84">
        <v>0</v>
      </c>
      <c r="F215" s="32">
        <f>D215+E215</f>
        <v>1</v>
      </c>
      <c r="G215" s="83">
        <v>35</v>
      </c>
      <c r="H215" s="84">
        <v>0</v>
      </c>
      <c r="I215" s="32">
        <f>G215+H215</f>
        <v>35</v>
      </c>
      <c r="J215" s="83">
        <v>68</v>
      </c>
      <c r="K215" s="84">
        <v>0</v>
      </c>
      <c r="L215" s="32">
        <f>J215+K215</f>
        <v>68</v>
      </c>
      <c r="M215" s="83">
        <v>0</v>
      </c>
      <c r="N215" s="84">
        <v>0</v>
      </c>
      <c r="O215" s="32">
        <f>M215+N215</f>
        <v>0</v>
      </c>
      <c r="P215" s="32">
        <f>F215+I215+L215+O215</f>
        <v>104</v>
      </c>
      <c r="Q215" s="98"/>
      <c r="R215" s="98"/>
      <c r="IP215" s="100"/>
      <c r="IQ215" s="100"/>
      <c r="IR215" s="100"/>
      <c r="IS215" s="100"/>
      <c r="IT215" s="100"/>
    </row>
    <row r="216" spans="1:254" s="99" customFormat="1" ht="16.5" customHeight="1" hidden="1">
      <c r="A216" s="41"/>
      <c r="B216" s="46"/>
      <c r="C216" s="83"/>
      <c r="D216" s="83"/>
      <c r="E216" s="84"/>
      <c r="F216" s="32"/>
      <c r="G216" s="83"/>
      <c r="H216" s="84"/>
      <c r="I216" s="32"/>
      <c r="J216" s="83"/>
      <c r="K216" s="84"/>
      <c r="L216" s="32">
        <f>J216+K216</f>
        <v>0</v>
      </c>
      <c r="M216" s="83"/>
      <c r="N216" s="84"/>
      <c r="O216" s="32">
        <f>M216+N216</f>
        <v>0</v>
      </c>
      <c r="P216" s="32"/>
      <c r="Q216" s="98"/>
      <c r="R216" s="98"/>
      <c r="IP216" s="100"/>
      <c r="IQ216" s="100"/>
      <c r="IR216" s="100"/>
      <c r="IS216" s="100"/>
      <c r="IT216" s="100"/>
    </row>
    <row r="217" spans="1:254" s="99" customFormat="1" ht="16.5" customHeight="1" hidden="1">
      <c r="A217" s="42"/>
      <c r="B217" s="120"/>
      <c r="C217" s="116">
        <f aca="true" t="shared" si="49" ref="C217:P217">C218+C220</f>
        <v>650</v>
      </c>
      <c r="D217" s="116">
        <f t="shared" si="49"/>
        <v>6</v>
      </c>
      <c r="E217" s="117">
        <f t="shared" si="49"/>
        <v>0</v>
      </c>
      <c r="F217" s="116">
        <f t="shared" si="49"/>
        <v>6</v>
      </c>
      <c r="G217" s="116">
        <f t="shared" si="49"/>
        <v>218</v>
      </c>
      <c r="H217" s="117">
        <f t="shared" si="49"/>
        <v>0</v>
      </c>
      <c r="I217" s="116">
        <f t="shared" si="49"/>
        <v>218</v>
      </c>
      <c r="J217" s="116">
        <f t="shared" si="49"/>
        <v>426</v>
      </c>
      <c r="K217" s="117">
        <f t="shared" si="49"/>
        <v>0</v>
      </c>
      <c r="L217" s="116">
        <f t="shared" si="49"/>
        <v>426</v>
      </c>
      <c r="M217" s="116">
        <f t="shared" si="49"/>
        <v>0</v>
      </c>
      <c r="N217" s="117">
        <f t="shared" si="49"/>
        <v>0</v>
      </c>
      <c r="O217" s="116">
        <f t="shared" si="49"/>
        <v>0</v>
      </c>
      <c r="P217" s="116">
        <f t="shared" si="49"/>
        <v>650</v>
      </c>
      <c r="Q217" s="98"/>
      <c r="R217" s="98"/>
      <c r="IP217" s="100"/>
      <c r="IQ217" s="100"/>
      <c r="IR217" s="100"/>
      <c r="IS217" s="100"/>
      <c r="IT217" s="100"/>
    </row>
    <row r="218" spans="1:254" s="99" customFormat="1" ht="16.5" customHeight="1" hidden="1">
      <c r="A218" s="41" t="s">
        <v>61</v>
      </c>
      <c r="B218" s="118" t="s">
        <v>67</v>
      </c>
      <c r="C218" s="83">
        <f>F218+I218+L218+O218</f>
        <v>546</v>
      </c>
      <c r="D218" s="83">
        <f aca="true" t="shared" si="50" ref="D218:P218">D213</f>
        <v>5</v>
      </c>
      <c r="E218" s="83">
        <f t="shared" si="50"/>
        <v>0</v>
      </c>
      <c r="F218" s="83">
        <f t="shared" si="50"/>
        <v>5</v>
      </c>
      <c r="G218" s="83">
        <f t="shared" si="50"/>
        <v>183</v>
      </c>
      <c r="H218" s="83">
        <f t="shared" si="50"/>
        <v>0</v>
      </c>
      <c r="I218" s="83">
        <f t="shared" si="50"/>
        <v>183</v>
      </c>
      <c r="J218" s="83">
        <f t="shared" si="50"/>
        <v>358</v>
      </c>
      <c r="K218" s="83">
        <f t="shared" si="50"/>
        <v>0</v>
      </c>
      <c r="L218" s="83">
        <f t="shared" si="50"/>
        <v>358</v>
      </c>
      <c r="M218" s="83">
        <f t="shared" si="50"/>
        <v>0</v>
      </c>
      <c r="N218" s="83">
        <f t="shared" si="50"/>
        <v>0</v>
      </c>
      <c r="O218" s="83">
        <f t="shared" si="50"/>
        <v>0</v>
      </c>
      <c r="P218" s="83">
        <f t="shared" si="50"/>
        <v>546</v>
      </c>
      <c r="Q218" s="98"/>
      <c r="R218" s="98"/>
      <c r="IP218" s="100"/>
      <c r="IQ218" s="100"/>
      <c r="IR218" s="100"/>
      <c r="IS218" s="100"/>
      <c r="IT218" s="100"/>
    </row>
    <row r="219" spans="1:254" s="99" customFormat="1" ht="16.5" customHeight="1" hidden="1">
      <c r="A219" s="41" t="s">
        <v>62</v>
      </c>
      <c r="B219" s="118" t="s">
        <v>65</v>
      </c>
      <c r="C219" s="83"/>
      <c r="D219" s="83"/>
      <c r="E219" s="83"/>
      <c r="F219" s="83"/>
      <c r="G219" s="83"/>
      <c r="H219" s="83"/>
      <c r="I219" s="83"/>
      <c r="J219" s="83"/>
      <c r="K219" s="83"/>
      <c r="L219" s="83"/>
      <c r="M219" s="83"/>
      <c r="N219" s="83"/>
      <c r="O219" s="83"/>
      <c r="P219" s="83"/>
      <c r="Q219" s="98"/>
      <c r="R219" s="98"/>
      <c r="IP219" s="100"/>
      <c r="IQ219" s="100"/>
      <c r="IR219" s="100"/>
      <c r="IS219" s="100"/>
      <c r="IT219" s="100"/>
    </row>
    <row r="220" spans="1:254" s="99" customFormat="1" ht="16.5" customHeight="1" hidden="1">
      <c r="A220" s="41" t="s">
        <v>63</v>
      </c>
      <c r="B220" s="118" t="s">
        <v>68</v>
      </c>
      <c r="C220" s="83">
        <f>F220+I220+L220+O220</f>
        <v>104</v>
      </c>
      <c r="D220" s="83">
        <f aca="true" t="shared" si="51" ref="D220:P220">D215</f>
        <v>1</v>
      </c>
      <c r="E220" s="83">
        <f t="shared" si="51"/>
        <v>0</v>
      </c>
      <c r="F220" s="83">
        <f t="shared" si="51"/>
        <v>1</v>
      </c>
      <c r="G220" s="83">
        <f t="shared" si="51"/>
        <v>35</v>
      </c>
      <c r="H220" s="83">
        <f t="shared" si="51"/>
        <v>0</v>
      </c>
      <c r="I220" s="83">
        <f t="shared" si="51"/>
        <v>35</v>
      </c>
      <c r="J220" s="83">
        <f t="shared" si="51"/>
        <v>68</v>
      </c>
      <c r="K220" s="83">
        <f t="shared" si="51"/>
        <v>0</v>
      </c>
      <c r="L220" s="83">
        <f t="shared" si="51"/>
        <v>68</v>
      </c>
      <c r="M220" s="83">
        <f t="shared" si="51"/>
        <v>0</v>
      </c>
      <c r="N220" s="83">
        <f t="shared" si="51"/>
        <v>0</v>
      </c>
      <c r="O220" s="83">
        <f t="shared" si="51"/>
        <v>0</v>
      </c>
      <c r="P220" s="83">
        <f t="shared" si="51"/>
        <v>104</v>
      </c>
      <c r="Q220" s="98"/>
      <c r="R220" s="98"/>
      <c r="IP220" s="100"/>
      <c r="IQ220" s="100"/>
      <c r="IR220" s="100"/>
      <c r="IS220" s="100"/>
      <c r="IT220" s="100"/>
    </row>
    <row r="221" spans="1:254" s="99" customFormat="1" ht="34.5" customHeight="1">
      <c r="A221" s="121" t="s">
        <v>47</v>
      </c>
      <c r="B221" s="122" t="s">
        <v>74</v>
      </c>
      <c r="C221" s="44">
        <f aca="true" t="shared" si="52" ref="C221:P221">C222+C224</f>
        <v>874</v>
      </c>
      <c r="D221" s="44">
        <f t="shared" si="52"/>
        <v>6</v>
      </c>
      <c r="E221" s="45">
        <f t="shared" si="52"/>
        <v>0</v>
      </c>
      <c r="F221" s="44">
        <f t="shared" si="52"/>
        <v>6</v>
      </c>
      <c r="G221" s="44">
        <f t="shared" si="52"/>
        <v>294</v>
      </c>
      <c r="H221" s="45">
        <f t="shared" si="52"/>
        <v>0</v>
      </c>
      <c r="I221" s="44">
        <f t="shared" si="52"/>
        <v>294</v>
      </c>
      <c r="J221" s="44">
        <f t="shared" si="52"/>
        <v>574</v>
      </c>
      <c r="K221" s="45">
        <f t="shared" si="52"/>
        <v>0</v>
      </c>
      <c r="L221" s="44">
        <f t="shared" si="52"/>
        <v>574</v>
      </c>
      <c r="M221" s="44">
        <f t="shared" si="52"/>
        <v>0</v>
      </c>
      <c r="N221" s="45">
        <f t="shared" si="52"/>
        <v>0</v>
      </c>
      <c r="O221" s="44">
        <f t="shared" si="52"/>
        <v>0</v>
      </c>
      <c r="P221" s="44">
        <f t="shared" si="52"/>
        <v>874</v>
      </c>
      <c r="Q221" s="98"/>
      <c r="R221" s="98"/>
      <c r="IP221" s="100"/>
      <c r="IQ221" s="100"/>
      <c r="IR221" s="100"/>
      <c r="IS221" s="100"/>
      <c r="IT221" s="100"/>
    </row>
    <row r="222" spans="1:254" s="99" customFormat="1" ht="16.5" customHeight="1">
      <c r="A222" s="46" t="s">
        <v>58</v>
      </c>
      <c r="B222" s="119" t="s">
        <v>22</v>
      </c>
      <c r="C222" s="83">
        <f>F222+I222+L222+O222</f>
        <v>734</v>
      </c>
      <c r="D222" s="83">
        <v>5</v>
      </c>
      <c r="E222" s="84"/>
      <c r="F222" s="32">
        <f>D222+E222</f>
        <v>5</v>
      </c>
      <c r="G222" s="83">
        <v>247</v>
      </c>
      <c r="H222" s="84"/>
      <c r="I222" s="32">
        <f>G222+H222</f>
        <v>247</v>
      </c>
      <c r="J222" s="83">
        <v>482</v>
      </c>
      <c r="K222" s="84"/>
      <c r="L222" s="32">
        <f>J222+K222</f>
        <v>482</v>
      </c>
      <c r="M222" s="83"/>
      <c r="N222" s="84"/>
      <c r="O222" s="32">
        <f>M222+N222</f>
        <v>0</v>
      </c>
      <c r="P222" s="32">
        <f>F222+I222+L222+O222</f>
        <v>734</v>
      </c>
      <c r="Q222" s="98"/>
      <c r="R222" s="98"/>
      <c r="IP222" s="100"/>
      <c r="IQ222" s="100"/>
      <c r="IR222" s="100"/>
      <c r="IS222" s="100"/>
      <c r="IT222" s="100"/>
    </row>
    <row r="223" spans="1:254" s="99" customFormat="1" ht="16.5" customHeight="1">
      <c r="A223" s="46" t="s">
        <v>59</v>
      </c>
      <c r="B223" s="119" t="s">
        <v>29</v>
      </c>
      <c r="C223" s="83"/>
      <c r="D223" s="83"/>
      <c r="E223" s="84"/>
      <c r="F223" s="32"/>
      <c r="G223" s="83"/>
      <c r="H223" s="84"/>
      <c r="I223" s="32"/>
      <c r="J223" s="83"/>
      <c r="K223" s="84"/>
      <c r="L223" s="32"/>
      <c r="M223" s="83"/>
      <c r="N223" s="84"/>
      <c r="O223" s="32"/>
      <c r="P223" s="32"/>
      <c r="Q223" s="98"/>
      <c r="R223" s="98"/>
      <c r="IP223" s="100"/>
      <c r="IQ223" s="100"/>
      <c r="IR223" s="100"/>
      <c r="IS223" s="100"/>
      <c r="IT223" s="100"/>
    </row>
    <row r="224" spans="1:254" s="99" customFormat="1" ht="16.5" customHeight="1">
      <c r="A224" s="41" t="s">
        <v>60</v>
      </c>
      <c r="B224" s="119" t="s">
        <v>26</v>
      </c>
      <c r="C224" s="83">
        <f>F224+I224+L224+O224</f>
        <v>140</v>
      </c>
      <c r="D224" s="83">
        <v>1</v>
      </c>
      <c r="E224" s="84"/>
      <c r="F224" s="32">
        <f>D224+E224</f>
        <v>1</v>
      </c>
      <c r="G224" s="83">
        <v>47</v>
      </c>
      <c r="H224" s="84"/>
      <c r="I224" s="32">
        <f>G224+H224</f>
        <v>47</v>
      </c>
      <c r="J224" s="83">
        <v>92</v>
      </c>
      <c r="K224" s="84"/>
      <c r="L224" s="32">
        <f>J224+K224</f>
        <v>92</v>
      </c>
      <c r="M224" s="83"/>
      <c r="N224" s="84"/>
      <c r="O224" s="32">
        <f>M224+N224</f>
        <v>0</v>
      </c>
      <c r="P224" s="32">
        <f>F224+I224+L224+O224</f>
        <v>140</v>
      </c>
      <c r="Q224" s="98"/>
      <c r="R224" s="98"/>
      <c r="IP224" s="100"/>
      <c r="IQ224" s="100"/>
      <c r="IR224" s="100"/>
      <c r="IS224" s="100"/>
      <c r="IT224" s="100"/>
    </row>
    <row r="225" spans="1:254" s="99" customFormat="1" ht="16.5" customHeight="1" hidden="1">
      <c r="A225" s="41"/>
      <c r="B225" s="46"/>
      <c r="C225" s="83"/>
      <c r="D225" s="83"/>
      <c r="E225" s="84"/>
      <c r="F225" s="32"/>
      <c r="G225" s="83"/>
      <c r="H225" s="84"/>
      <c r="I225" s="32"/>
      <c r="J225" s="83"/>
      <c r="K225" s="84"/>
      <c r="L225" s="32">
        <f>J225+K225</f>
        <v>0</v>
      </c>
      <c r="M225" s="83"/>
      <c r="N225" s="84"/>
      <c r="O225" s="32">
        <f>M225+N225</f>
        <v>0</v>
      </c>
      <c r="P225" s="32"/>
      <c r="Q225" s="98"/>
      <c r="R225" s="98"/>
      <c r="IP225" s="100"/>
      <c r="IQ225" s="100"/>
      <c r="IR225" s="100"/>
      <c r="IS225" s="100"/>
      <c r="IT225" s="100"/>
    </row>
    <row r="226" spans="1:254" s="99" customFormat="1" ht="16.5" customHeight="1" hidden="1">
      <c r="A226" s="42"/>
      <c r="B226" s="120"/>
      <c r="C226" s="116">
        <f aca="true" t="shared" si="53" ref="C226:P226">C227+C229</f>
        <v>874</v>
      </c>
      <c r="D226" s="116">
        <f t="shared" si="53"/>
        <v>6</v>
      </c>
      <c r="E226" s="117">
        <f t="shared" si="53"/>
        <v>0</v>
      </c>
      <c r="F226" s="116">
        <f t="shared" si="53"/>
        <v>6</v>
      </c>
      <c r="G226" s="116">
        <f t="shared" si="53"/>
        <v>294</v>
      </c>
      <c r="H226" s="117">
        <f t="shared" si="53"/>
        <v>0</v>
      </c>
      <c r="I226" s="116">
        <f t="shared" si="53"/>
        <v>294</v>
      </c>
      <c r="J226" s="116">
        <f t="shared" si="53"/>
        <v>574</v>
      </c>
      <c r="K226" s="117">
        <f t="shared" si="53"/>
        <v>0</v>
      </c>
      <c r="L226" s="116">
        <f t="shared" si="53"/>
        <v>574</v>
      </c>
      <c r="M226" s="116">
        <f t="shared" si="53"/>
        <v>0</v>
      </c>
      <c r="N226" s="117">
        <f t="shared" si="53"/>
        <v>0</v>
      </c>
      <c r="O226" s="116">
        <f t="shared" si="53"/>
        <v>0</v>
      </c>
      <c r="P226" s="116">
        <f t="shared" si="53"/>
        <v>874</v>
      </c>
      <c r="Q226" s="98"/>
      <c r="R226" s="98"/>
      <c r="IP226" s="100"/>
      <c r="IQ226" s="100"/>
      <c r="IR226" s="100"/>
      <c r="IS226" s="100"/>
      <c r="IT226" s="100"/>
    </row>
    <row r="227" spans="1:254" s="99" customFormat="1" ht="16.5" customHeight="1" hidden="1">
      <c r="A227" s="41" t="s">
        <v>61</v>
      </c>
      <c r="B227" s="118" t="s">
        <v>67</v>
      </c>
      <c r="C227" s="83">
        <f>F227+I227+L227+O227</f>
        <v>734</v>
      </c>
      <c r="D227" s="83">
        <f aca="true" t="shared" si="54" ref="D227:P227">D222</f>
        <v>5</v>
      </c>
      <c r="E227" s="83">
        <f t="shared" si="54"/>
        <v>0</v>
      </c>
      <c r="F227" s="83">
        <f t="shared" si="54"/>
        <v>5</v>
      </c>
      <c r="G227" s="83">
        <f t="shared" si="54"/>
        <v>247</v>
      </c>
      <c r="H227" s="83">
        <f t="shared" si="54"/>
        <v>0</v>
      </c>
      <c r="I227" s="83">
        <f t="shared" si="54"/>
        <v>247</v>
      </c>
      <c r="J227" s="83">
        <f t="shared" si="54"/>
        <v>482</v>
      </c>
      <c r="K227" s="83">
        <f t="shared" si="54"/>
        <v>0</v>
      </c>
      <c r="L227" s="83">
        <f t="shared" si="54"/>
        <v>482</v>
      </c>
      <c r="M227" s="83">
        <f t="shared" si="54"/>
        <v>0</v>
      </c>
      <c r="N227" s="83">
        <f t="shared" si="54"/>
        <v>0</v>
      </c>
      <c r="O227" s="83">
        <f t="shared" si="54"/>
        <v>0</v>
      </c>
      <c r="P227" s="83">
        <f t="shared" si="54"/>
        <v>734</v>
      </c>
      <c r="Q227" s="98"/>
      <c r="R227" s="98"/>
      <c r="IP227" s="100"/>
      <c r="IQ227" s="100"/>
      <c r="IR227" s="100"/>
      <c r="IS227" s="100"/>
      <c r="IT227" s="100"/>
    </row>
    <row r="228" spans="1:254" s="99" customFormat="1" ht="16.5" customHeight="1" hidden="1">
      <c r="A228" s="41" t="s">
        <v>62</v>
      </c>
      <c r="B228" s="118" t="s">
        <v>65</v>
      </c>
      <c r="C228" s="83"/>
      <c r="D228" s="83"/>
      <c r="E228" s="83"/>
      <c r="F228" s="83"/>
      <c r="G228" s="83"/>
      <c r="H228" s="83"/>
      <c r="I228" s="83"/>
      <c r="J228" s="83"/>
      <c r="K228" s="83"/>
      <c r="L228" s="83"/>
      <c r="M228" s="83"/>
      <c r="N228" s="83"/>
      <c r="O228" s="83"/>
      <c r="P228" s="83"/>
      <c r="Q228" s="98"/>
      <c r="R228" s="98"/>
      <c r="IP228" s="100"/>
      <c r="IQ228" s="100"/>
      <c r="IR228" s="100"/>
      <c r="IS228" s="100"/>
      <c r="IT228" s="100"/>
    </row>
    <row r="229" spans="1:254" s="99" customFormat="1" ht="16.5" customHeight="1" hidden="1">
      <c r="A229" s="41" t="s">
        <v>63</v>
      </c>
      <c r="B229" s="118" t="s">
        <v>68</v>
      </c>
      <c r="C229" s="83">
        <f>F229+I229+L229+O229</f>
        <v>140</v>
      </c>
      <c r="D229" s="83">
        <f aca="true" t="shared" si="55" ref="D229:P229">D224</f>
        <v>1</v>
      </c>
      <c r="E229" s="83">
        <f t="shared" si="55"/>
        <v>0</v>
      </c>
      <c r="F229" s="83">
        <f t="shared" si="55"/>
        <v>1</v>
      </c>
      <c r="G229" s="83">
        <f t="shared" si="55"/>
        <v>47</v>
      </c>
      <c r="H229" s="83">
        <f t="shared" si="55"/>
        <v>0</v>
      </c>
      <c r="I229" s="83">
        <f t="shared" si="55"/>
        <v>47</v>
      </c>
      <c r="J229" s="83">
        <f t="shared" si="55"/>
        <v>92</v>
      </c>
      <c r="K229" s="83">
        <f t="shared" si="55"/>
        <v>0</v>
      </c>
      <c r="L229" s="83">
        <f t="shared" si="55"/>
        <v>92</v>
      </c>
      <c r="M229" s="83">
        <f t="shared" si="55"/>
        <v>0</v>
      </c>
      <c r="N229" s="83">
        <f t="shared" si="55"/>
        <v>0</v>
      </c>
      <c r="O229" s="83">
        <f t="shared" si="55"/>
        <v>0</v>
      </c>
      <c r="P229" s="83">
        <f t="shared" si="55"/>
        <v>140</v>
      </c>
      <c r="Q229" s="98"/>
      <c r="R229" s="98"/>
      <c r="IP229" s="100"/>
      <c r="IQ229" s="100"/>
      <c r="IR229" s="100"/>
      <c r="IS229" s="100"/>
      <c r="IT229" s="100"/>
    </row>
    <row r="230" spans="1:254" s="99" customFormat="1" ht="46.5" customHeight="1">
      <c r="A230" s="121" t="s">
        <v>47</v>
      </c>
      <c r="B230" s="122" t="s">
        <v>75</v>
      </c>
      <c r="C230" s="44">
        <f>C231+C233+C232</f>
        <v>412</v>
      </c>
      <c r="D230" s="44">
        <f>D231+D233+D232</f>
        <v>8</v>
      </c>
      <c r="E230" s="45">
        <f>E231+E233</f>
        <v>0</v>
      </c>
      <c r="F230" s="44">
        <f>F231+F233+F232</f>
        <v>8</v>
      </c>
      <c r="G230" s="44">
        <f>G231+G233+G232</f>
        <v>248</v>
      </c>
      <c r="H230" s="45">
        <f>H231+H232</f>
        <v>0</v>
      </c>
      <c r="I230" s="44">
        <f>I231+I233+I232</f>
        <v>248</v>
      </c>
      <c r="J230" s="44">
        <f>J231+J232+J233</f>
        <v>156</v>
      </c>
      <c r="K230" s="45">
        <f>K231+K233+K232</f>
        <v>0</v>
      </c>
      <c r="L230" s="44">
        <f>L231+L233+L232</f>
        <v>156</v>
      </c>
      <c r="M230" s="44">
        <f>M231+M233</f>
        <v>0</v>
      </c>
      <c r="N230" s="45">
        <f>N231+N233</f>
        <v>0</v>
      </c>
      <c r="O230" s="44">
        <f>O231+O233</f>
        <v>0</v>
      </c>
      <c r="P230" s="44">
        <f>P231+P233+P232</f>
        <v>412</v>
      </c>
      <c r="Q230" s="98"/>
      <c r="R230" s="98"/>
      <c r="IP230" s="100"/>
      <c r="IQ230" s="100"/>
      <c r="IR230" s="100"/>
      <c r="IS230" s="100"/>
      <c r="IT230" s="100"/>
    </row>
    <row r="231" spans="1:254" s="99" customFormat="1" ht="16.5" customHeight="1">
      <c r="A231" s="46" t="s">
        <v>58</v>
      </c>
      <c r="B231" s="119" t="s">
        <v>22</v>
      </c>
      <c r="C231" s="83">
        <v>346</v>
      </c>
      <c r="D231" s="83">
        <v>6</v>
      </c>
      <c r="E231" s="84"/>
      <c r="F231" s="32">
        <f>D231+E231</f>
        <v>6</v>
      </c>
      <c r="G231" s="83">
        <v>209</v>
      </c>
      <c r="H231" s="84">
        <v>-215</v>
      </c>
      <c r="I231" s="32">
        <f>G231+H231</f>
        <v>-6</v>
      </c>
      <c r="J231" s="83">
        <v>131</v>
      </c>
      <c r="K231" s="84">
        <v>-131</v>
      </c>
      <c r="L231" s="32">
        <f>J231+K231</f>
        <v>0</v>
      </c>
      <c r="M231" s="83"/>
      <c r="N231" s="84"/>
      <c r="O231" s="32">
        <f>M231+N231</f>
        <v>0</v>
      </c>
      <c r="P231" s="32">
        <f>F231+I231+L231+O231</f>
        <v>0</v>
      </c>
      <c r="Q231" s="98"/>
      <c r="R231" s="98"/>
      <c r="IP231" s="100"/>
      <c r="IQ231" s="100"/>
      <c r="IR231" s="100"/>
      <c r="IS231" s="100"/>
      <c r="IT231" s="100"/>
    </row>
    <row r="232" spans="1:254" s="99" customFormat="1" ht="16.5" customHeight="1">
      <c r="A232" s="46" t="s">
        <v>59</v>
      </c>
      <c r="B232" s="119" t="s">
        <v>29</v>
      </c>
      <c r="C232" s="83">
        <v>0</v>
      </c>
      <c r="D232" s="83">
        <v>0</v>
      </c>
      <c r="E232" s="84">
        <v>0</v>
      </c>
      <c r="F232" s="32">
        <v>0</v>
      </c>
      <c r="G232" s="83">
        <v>0</v>
      </c>
      <c r="H232" s="84">
        <v>215</v>
      </c>
      <c r="I232" s="32">
        <f>G232+H232</f>
        <v>215</v>
      </c>
      <c r="J232" s="83">
        <v>0</v>
      </c>
      <c r="K232" s="84">
        <v>131</v>
      </c>
      <c r="L232" s="32">
        <f>J232+K232</f>
        <v>131</v>
      </c>
      <c r="M232" s="83"/>
      <c r="N232" s="84"/>
      <c r="O232" s="32"/>
      <c r="P232" s="32">
        <f>F232+I232+L232</f>
        <v>346</v>
      </c>
      <c r="Q232" s="98"/>
      <c r="R232" s="98"/>
      <c r="IP232" s="100"/>
      <c r="IQ232" s="100"/>
      <c r="IR232" s="100"/>
      <c r="IS232" s="100"/>
      <c r="IT232" s="100"/>
    </row>
    <row r="233" spans="1:254" s="99" customFormat="1" ht="16.5" customHeight="1">
      <c r="A233" s="41" t="s">
        <v>60</v>
      </c>
      <c r="B233" s="119" t="s">
        <v>26</v>
      </c>
      <c r="C233" s="83">
        <f>F233+I233+L233+O233</f>
        <v>66</v>
      </c>
      <c r="D233" s="83">
        <v>2</v>
      </c>
      <c r="E233" s="84"/>
      <c r="F233" s="32">
        <f>D233+E233</f>
        <v>2</v>
      </c>
      <c r="G233" s="83">
        <v>39</v>
      </c>
      <c r="H233" s="84"/>
      <c r="I233" s="32">
        <f>G233+H233</f>
        <v>39</v>
      </c>
      <c r="J233" s="83">
        <v>25</v>
      </c>
      <c r="K233" s="84"/>
      <c r="L233" s="32">
        <f>J233+K233</f>
        <v>25</v>
      </c>
      <c r="M233" s="83"/>
      <c r="N233" s="84"/>
      <c r="O233" s="32">
        <f>M233+N233</f>
        <v>0</v>
      </c>
      <c r="P233" s="32">
        <f>F233+I233+L233+O233</f>
        <v>66</v>
      </c>
      <c r="Q233" s="98"/>
      <c r="R233" s="98"/>
      <c r="IP233" s="100"/>
      <c r="IQ233" s="100"/>
      <c r="IR233" s="100"/>
      <c r="IS233" s="100"/>
      <c r="IT233" s="100"/>
    </row>
    <row r="234" spans="1:254" s="99" customFormat="1" ht="16.5" customHeight="1" hidden="1">
      <c r="A234" s="41"/>
      <c r="B234" s="46"/>
      <c r="C234" s="83"/>
      <c r="D234" s="83"/>
      <c r="E234" s="84"/>
      <c r="F234" s="32"/>
      <c r="G234" s="83"/>
      <c r="H234" s="84"/>
      <c r="I234" s="32"/>
      <c r="J234" s="83"/>
      <c r="K234" s="84"/>
      <c r="L234" s="32">
        <f>J234+K234</f>
        <v>0</v>
      </c>
      <c r="M234" s="83"/>
      <c r="N234" s="84"/>
      <c r="O234" s="32">
        <f>M234+N234</f>
        <v>0</v>
      </c>
      <c r="P234" s="32"/>
      <c r="Q234" s="98"/>
      <c r="R234" s="98"/>
      <c r="IP234" s="100"/>
      <c r="IQ234" s="100"/>
      <c r="IR234" s="100"/>
      <c r="IS234" s="100"/>
      <c r="IT234" s="100"/>
    </row>
    <row r="235" spans="1:254" s="99" customFormat="1" ht="16.5" customHeight="1" hidden="1">
      <c r="A235" s="42"/>
      <c r="B235" s="120"/>
      <c r="C235" s="116">
        <f aca="true" t="shared" si="56" ref="C235:O235">C236+C238</f>
        <v>412</v>
      </c>
      <c r="D235" s="116">
        <f t="shared" si="56"/>
        <v>8</v>
      </c>
      <c r="E235" s="117">
        <f t="shared" si="56"/>
        <v>0</v>
      </c>
      <c r="F235" s="116">
        <f t="shared" si="56"/>
        <v>8</v>
      </c>
      <c r="G235" s="116">
        <f t="shared" si="56"/>
        <v>248</v>
      </c>
      <c r="H235" s="117">
        <f>H236+H238+H237</f>
        <v>0</v>
      </c>
      <c r="I235" s="116">
        <f>I236+I238+I237</f>
        <v>248</v>
      </c>
      <c r="J235" s="116">
        <f t="shared" si="56"/>
        <v>156</v>
      </c>
      <c r="K235" s="117">
        <f>K236+K238+K237</f>
        <v>0</v>
      </c>
      <c r="L235" s="116">
        <f>L236+L238+L237</f>
        <v>156</v>
      </c>
      <c r="M235" s="116">
        <f t="shared" si="56"/>
        <v>0</v>
      </c>
      <c r="N235" s="117">
        <f t="shared" si="56"/>
        <v>0</v>
      </c>
      <c r="O235" s="116">
        <f t="shared" si="56"/>
        <v>0</v>
      </c>
      <c r="P235" s="116">
        <f>P236+P238+P237</f>
        <v>412</v>
      </c>
      <c r="Q235" s="98"/>
      <c r="R235" s="98"/>
      <c r="IP235" s="100"/>
      <c r="IQ235" s="100"/>
      <c r="IR235" s="100"/>
      <c r="IS235" s="100"/>
      <c r="IT235" s="100"/>
    </row>
    <row r="236" spans="1:254" s="99" customFormat="1" ht="16.5" customHeight="1" hidden="1">
      <c r="A236" s="41" t="s">
        <v>61</v>
      </c>
      <c r="B236" s="118" t="s">
        <v>67</v>
      </c>
      <c r="C236" s="83">
        <v>346</v>
      </c>
      <c r="D236" s="83">
        <f aca="true" t="shared" si="57" ref="D236:O236">D231</f>
        <v>6</v>
      </c>
      <c r="E236" s="83">
        <f t="shared" si="57"/>
        <v>0</v>
      </c>
      <c r="F236" s="83">
        <f t="shared" si="57"/>
        <v>6</v>
      </c>
      <c r="G236" s="83">
        <f t="shared" si="57"/>
        <v>209</v>
      </c>
      <c r="H236" s="83">
        <f t="shared" si="57"/>
        <v>-215</v>
      </c>
      <c r="I236" s="83">
        <f t="shared" si="57"/>
        <v>-6</v>
      </c>
      <c r="J236" s="83">
        <f t="shared" si="57"/>
        <v>131</v>
      </c>
      <c r="K236" s="83">
        <f t="shared" si="57"/>
        <v>-131</v>
      </c>
      <c r="L236" s="83">
        <f t="shared" si="57"/>
        <v>0</v>
      </c>
      <c r="M236" s="83">
        <f t="shared" si="57"/>
        <v>0</v>
      </c>
      <c r="N236" s="83">
        <f t="shared" si="57"/>
        <v>0</v>
      </c>
      <c r="O236" s="83">
        <f t="shared" si="57"/>
        <v>0</v>
      </c>
      <c r="P236" s="83">
        <f>F236+I236+L236</f>
        <v>0</v>
      </c>
      <c r="Q236" s="98"/>
      <c r="R236" s="98"/>
      <c r="IP236" s="100"/>
      <c r="IQ236" s="100"/>
      <c r="IR236" s="100"/>
      <c r="IS236" s="100"/>
      <c r="IT236" s="100"/>
    </row>
    <row r="237" spans="1:254" s="99" customFormat="1" ht="16.5" customHeight="1" hidden="1">
      <c r="A237" s="41" t="s">
        <v>62</v>
      </c>
      <c r="B237" s="118" t="s">
        <v>65</v>
      </c>
      <c r="C237" s="83"/>
      <c r="D237" s="83"/>
      <c r="E237" s="83"/>
      <c r="F237" s="83"/>
      <c r="G237" s="83"/>
      <c r="H237" s="83">
        <v>215</v>
      </c>
      <c r="I237" s="83">
        <v>215</v>
      </c>
      <c r="J237" s="83"/>
      <c r="K237" s="83">
        <v>131</v>
      </c>
      <c r="L237" s="83">
        <v>131</v>
      </c>
      <c r="M237" s="83"/>
      <c r="N237" s="83"/>
      <c r="O237" s="83"/>
      <c r="P237" s="83">
        <f>I237+L237</f>
        <v>346</v>
      </c>
      <c r="Q237" s="98"/>
      <c r="R237" s="98"/>
      <c r="IP237" s="100"/>
      <c r="IQ237" s="100"/>
      <c r="IR237" s="100"/>
      <c r="IS237" s="100"/>
      <c r="IT237" s="100"/>
    </row>
    <row r="238" spans="1:254" s="99" customFormat="1" ht="16.5" customHeight="1" hidden="1">
      <c r="A238" s="41" t="s">
        <v>63</v>
      </c>
      <c r="B238" s="118" t="s">
        <v>68</v>
      </c>
      <c r="C238" s="83">
        <f>F238+I238+L238+O238</f>
        <v>66</v>
      </c>
      <c r="D238" s="83">
        <f aca="true" t="shared" si="58" ref="D238:P238">D233</f>
        <v>2</v>
      </c>
      <c r="E238" s="83">
        <f t="shared" si="58"/>
        <v>0</v>
      </c>
      <c r="F238" s="83">
        <f t="shared" si="58"/>
        <v>2</v>
      </c>
      <c r="G238" s="83">
        <f t="shared" si="58"/>
        <v>39</v>
      </c>
      <c r="H238" s="83">
        <f t="shared" si="58"/>
        <v>0</v>
      </c>
      <c r="I238" s="83">
        <f t="shared" si="58"/>
        <v>39</v>
      </c>
      <c r="J238" s="83">
        <f t="shared" si="58"/>
        <v>25</v>
      </c>
      <c r="K238" s="83">
        <f t="shared" si="58"/>
        <v>0</v>
      </c>
      <c r="L238" s="83">
        <f t="shared" si="58"/>
        <v>25</v>
      </c>
      <c r="M238" s="83">
        <f t="shared" si="58"/>
        <v>0</v>
      </c>
      <c r="N238" s="83">
        <f t="shared" si="58"/>
        <v>0</v>
      </c>
      <c r="O238" s="83">
        <f t="shared" si="58"/>
        <v>0</v>
      </c>
      <c r="P238" s="83">
        <f t="shared" si="58"/>
        <v>66</v>
      </c>
      <c r="Q238" s="98"/>
      <c r="R238" s="98"/>
      <c r="IP238" s="100"/>
      <c r="IQ238" s="100"/>
      <c r="IR238" s="100"/>
      <c r="IS238" s="100"/>
      <c r="IT238" s="100"/>
    </row>
    <row r="239" spans="1:254" s="99" customFormat="1" ht="46.5" customHeight="1">
      <c r="A239" s="121" t="s">
        <v>47</v>
      </c>
      <c r="B239" s="122" t="s">
        <v>76</v>
      </c>
      <c r="C239" s="44">
        <f>C240+C242+C241</f>
        <v>511</v>
      </c>
      <c r="D239" s="44">
        <f>D240+D242+D241</f>
        <v>9</v>
      </c>
      <c r="E239" s="44">
        <f aca="true" t="shared" si="59" ref="E239:O239">E240+E242+E241</f>
        <v>0</v>
      </c>
      <c r="F239" s="44">
        <f t="shared" si="59"/>
        <v>9</v>
      </c>
      <c r="G239" s="44">
        <f t="shared" si="59"/>
        <v>310</v>
      </c>
      <c r="H239" s="44">
        <f t="shared" si="59"/>
        <v>0</v>
      </c>
      <c r="I239" s="44">
        <f>I240+I242+I241</f>
        <v>310</v>
      </c>
      <c r="J239" s="44">
        <f>J240+J242+J241</f>
        <v>192</v>
      </c>
      <c r="K239" s="44">
        <f t="shared" si="59"/>
        <v>0</v>
      </c>
      <c r="L239" s="44">
        <f>L240+L242+L241</f>
        <v>192</v>
      </c>
      <c r="M239" s="44">
        <f t="shared" si="59"/>
        <v>0</v>
      </c>
      <c r="N239" s="44">
        <f t="shared" si="59"/>
        <v>0</v>
      </c>
      <c r="O239" s="44">
        <f t="shared" si="59"/>
        <v>0</v>
      </c>
      <c r="P239" s="44">
        <f>P240+P242+P241</f>
        <v>511</v>
      </c>
      <c r="Q239" s="98"/>
      <c r="R239" s="98"/>
      <c r="IP239" s="100"/>
      <c r="IQ239" s="100"/>
      <c r="IR239" s="100"/>
      <c r="IS239" s="100"/>
      <c r="IT239" s="100"/>
    </row>
    <row r="240" spans="1:254" s="99" customFormat="1" ht="16.5" customHeight="1">
      <c r="A240" s="46" t="s">
        <v>58</v>
      </c>
      <c r="B240" s="119" t="s">
        <v>22</v>
      </c>
      <c r="C240" s="83">
        <v>429</v>
      </c>
      <c r="D240" s="83">
        <v>7</v>
      </c>
      <c r="E240" s="84"/>
      <c r="F240" s="32">
        <f>D240+E240</f>
        <v>7</v>
      </c>
      <c r="G240" s="83">
        <v>261</v>
      </c>
      <c r="H240" s="84">
        <v>-268</v>
      </c>
      <c r="I240" s="32">
        <f>G240+H240</f>
        <v>-7</v>
      </c>
      <c r="J240" s="83">
        <v>161</v>
      </c>
      <c r="K240" s="84">
        <v>-161</v>
      </c>
      <c r="L240" s="32">
        <f>J240+K240</f>
        <v>0</v>
      </c>
      <c r="M240" s="83"/>
      <c r="N240" s="84"/>
      <c r="O240" s="32">
        <f>M240+N240</f>
        <v>0</v>
      </c>
      <c r="P240" s="32">
        <f>F240+I240+L240+O240</f>
        <v>0</v>
      </c>
      <c r="Q240" s="98"/>
      <c r="R240" s="98"/>
      <c r="IP240" s="100"/>
      <c r="IQ240" s="100"/>
      <c r="IR240" s="100"/>
      <c r="IS240" s="100"/>
      <c r="IT240" s="100"/>
    </row>
    <row r="241" spans="1:254" s="99" customFormat="1" ht="16.5" customHeight="1">
      <c r="A241" s="46" t="s">
        <v>59</v>
      </c>
      <c r="B241" s="119" t="s">
        <v>29</v>
      </c>
      <c r="C241" s="83">
        <v>0</v>
      </c>
      <c r="D241" s="83"/>
      <c r="E241" s="84"/>
      <c r="F241" s="32"/>
      <c r="G241" s="83"/>
      <c r="H241" s="84">
        <v>268</v>
      </c>
      <c r="I241" s="32">
        <f>G241+H241</f>
        <v>268</v>
      </c>
      <c r="J241" s="83">
        <v>0</v>
      </c>
      <c r="K241" s="84">
        <v>161</v>
      </c>
      <c r="L241" s="32">
        <f>J241+K241</f>
        <v>161</v>
      </c>
      <c r="M241" s="83"/>
      <c r="N241" s="84"/>
      <c r="O241" s="32"/>
      <c r="P241" s="32">
        <f>F241+L241+I241</f>
        <v>429</v>
      </c>
      <c r="Q241" s="98"/>
      <c r="R241" s="98"/>
      <c r="IP241" s="100"/>
      <c r="IQ241" s="100"/>
      <c r="IR241" s="100"/>
      <c r="IS241" s="100"/>
      <c r="IT241" s="100"/>
    </row>
    <row r="242" spans="1:254" s="99" customFormat="1" ht="16.5" customHeight="1">
      <c r="A242" s="41" t="s">
        <v>60</v>
      </c>
      <c r="B242" s="119" t="s">
        <v>26</v>
      </c>
      <c r="C242" s="83">
        <f>F242+I242+L242+O242</f>
        <v>82</v>
      </c>
      <c r="D242" s="83">
        <v>2</v>
      </c>
      <c r="E242" s="84"/>
      <c r="F242" s="32">
        <f>D242+E242</f>
        <v>2</v>
      </c>
      <c r="G242" s="83">
        <v>49</v>
      </c>
      <c r="H242" s="84"/>
      <c r="I242" s="32">
        <f>G242+H242</f>
        <v>49</v>
      </c>
      <c r="J242" s="83">
        <v>31</v>
      </c>
      <c r="K242" s="84"/>
      <c r="L242" s="32">
        <f>J242+K242</f>
        <v>31</v>
      </c>
      <c r="M242" s="83"/>
      <c r="N242" s="84"/>
      <c r="O242" s="32">
        <f>M242+N242</f>
        <v>0</v>
      </c>
      <c r="P242" s="32">
        <f>F242+I242+L242+O242</f>
        <v>82</v>
      </c>
      <c r="Q242" s="98"/>
      <c r="R242" s="98"/>
      <c r="IP242" s="100"/>
      <c r="IQ242" s="100"/>
      <c r="IR242" s="100"/>
      <c r="IS242" s="100"/>
      <c r="IT242" s="100"/>
    </row>
    <row r="243" spans="1:254" s="99" customFormat="1" ht="16.5" customHeight="1" hidden="1">
      <c r="A243" s="41"/>
      <c r="B243" s="46"/>
      <c r="C243" s="83"/>
      <c r="D243" s="83"/>
      <c r="E243" s="84"/>
      <c r="F243" s="32"/>
      <c r="G243" s="83"/>
      <c r="H243" s="84"/>
      <c r="I243" s="32"/>
      <c r="J243" s="83"/>
      <c r="K243" s="84"/>
      <c r="L243" s="32">
        <f>J243+K243</f>
        <v>0</v>
      </c>
      <c r="M243" s="83"/>
      <c r="N243" s="84"/>
      <c r="O243" s="32">
        <f>M243+N243</f>
        <v>0</v>
      </c>
      <c r="P243" s="32"/>
      <c r="Q243" s="98"/>
      <c r="R243" s="98"/>
      <c r="IP243" s="100"/>
      <c r="IQ243" s="100"/>
      <c r="IR243" s="100"/>
      <c r="IS243" s="100"/>
      <c r="IT243" s="100"/>
    </row>
    <row r="244" spans="1:254" s="99" customFormat="1" ht="16.5" customHeight="1" hidden="1">
      <c r="A244" s="42"/>
      <c r="B244" s="120"/>
      <c r="C244" s="116">
        <f aca="true" t="shared" si="60" ref="C244:O244">C245+C247</f>
        <v>511</v>
      </c>
      <c r="D244" s="116">
        <f t="shared" si="60"/>
        <v>9</v>
      </c>
      <c r="E244" s="116">
        <f t="shared" si="60"/>
        <v>0</v>
      </c>
      <c r="F244" s="116">
        <f t="shared" si="60"/>
        <v>9</v>
      </c>
      <c r="G244" s="116">
        <f t="shared" si="60"/>
        <v>310</v>
      </c>
      <c r="H244" s="116">
        <f>H245+H247+H246</f>
        <v>0</v>
      </c>
      <c r="I244" s="116">
        <f>I245+I247+I246</f>
        <v>310</v>
      </c>
      <c r="J244" s="116">
        <f>J245+J247</f>
        <v>192</v>
      </c>
      <c r="K244" s="116">
        <f>K245+K247+K246</f>
        <v>0</v>
      </c>
      <c r="L244" s="116">
        <f>L245+L247+L246</f>
        <v>192</v>
      </c>
      <c r="M244" s="116">
        <f t="shared" si="60"/>
        <v>0</v>
      </c>
      <c r="N244" s="116">
        <f t="shared" si="60"/>
        <v>0</v>
      </c>
      <c r="O244" s="116">
        <f t="shared" si="60"/>
        <v>0</v>
      </c>
      <c r="P244" s="116">
        <f>P245+P247+P246</f>
        <v>511</v>
      </c>
      <c r="Q244" s="98"/>
      <c r="R244" s="98"/>
      <c r="IP244" s="100"/>
      <c r="IQ244" s="100"/>
      <c r="IR244" s="100"/>
      <c r="IS244" s="100"/>
      <c r="IT244" s="100"/>
    </row>
    <row r="245" spans="1:254" s="99" customFormat="1" ht="16.5" customHeight="1" hidden="1">
      <c r="A245" s="41" t="s">
        <v>61</v>
      </c>
      <c r="B245" s="118" t="s">
        <v>67</v>
      </c>
      <c r="C245" s="83">
        <v>429</v>
      </c>
      <c r="D245" s="83">
        <f aca="true" t="shared" si="61" ref="D245:O245">D240</f>
        <v>7</v>
      </c>
      <c r="E245" s="83">
        <f t="shared" si="61"/>
        <v>0</v>
      </c>
      <c r="F245" s="83">
        <f t="shared" si="61"/>
        <v>7</v>
      </c>
      <c r="G245" s="83">
        <f t="shared" si="61"/>
        <v>261</v>
      </c>
      <c r="H245" s="83">
        <f t="shared" si="61"/>
        <v>-268</v>
      </c>
      <c r="I245" s="83">
        <f t="shared" si="61"/>
        <v>-7</v>
      </c>
      <c r="J245" s="83">
        <f t="shared" si="61"/>
        <v>161</v>
      </c>
      <c r="K245" s="83">
        <f t="shared" si="61"/>
        <v>-161</v>
      </c>
      <c r="L245" s="83">
        <f t="shared" si="61"/>
        <v>0</v>
      </c>
      <c r="M245" s="83">
        <f t="shared" si="61"/>
        <v>0</v>
      </c>
      <c r="N245" s="83">
        <f t="shared" si="61"/>
        <v>0</v>
      </c>
      <c r="O245" s="83">
        <f t="shared" si="61"/>
        <v>0</v>
      </c>
      <c r="P245" s="83">
        <f>F245+I245+L245</f>
        <v>0</v>
      </c>
      <c r="Q245" s="98"/>
      <c r="R245" s="98"/>
      <c r="IP245" s="100"/>
      <c r="IQ245" s="100"/>
      <c r="IR245" s="100"/>
      <c r="IS245" s="100"/>
      <c r="IT245" s="100"/>
    </row>
    <row r="246" spans="1:254" s="99" customFormat="1" ht="16.5" customHeight="1" hidden="1">
      <c r="A246" s="41" t="s">
        <v>62</v>
      </c>
      <c r="B246" s="118" t="s">
        <v>65</v>
      </c>
      <c r="C246" s="83">
        <v>0</v>
      </c>
      <c r="D246" s="83">
        <v>0</v>
      </c>
      <c r="E246" s="83">
        <v>0</v>
      </c>
      <c r="F246" s="83">
        <v>0</v>
      </c>
      <c r="G246" s="83">
        <v>0</v>
      </c>
      <c r="H246" s="83">
        <v>268</v>
      </c>
      <c r="I246" s="83">
        <v>268</v>
      </c>
      <c r="J246" s="83"/>
      <c r="K246" s="83">
        <v>161</v>
      </c>
      <c r="L246" s="83">
        <v>161</v>
      </c>
      <c r="M246" s="83"/>
      <c r="N246" s="83"/>
      <c r="O246" s="83"/>
      <c r="P246" s="83">
        <f>L246+I246</f>
        <v>429</v>
      </c>
      <c r="Q246" s="98"/>
      <c r="R246" s="98"/>
      <c r="IP246" s="100"/>
      <c r="IQ246" s="100"/>
      <c r="IR246" s="100"/>
      <c r="IS246" s="100"/>
      <c r="IT246" s="100"/>
    </row>
    <row r="247" spans="1:254" s="99" customFormat="1" ht="16.5" customHeight="1" hidden="1">
      <c r="A247" s="41" t="s">
        <v>63</v>
      </c>
      <c r="B247" s="118" t="s">
        <v>68</v>
      </c>
      <c r="C247" s="83">
        <f>F247+I247+L247+O247</f>
        <v>82</v>
      </c>
      <c r="D247" s="83">
        <f aca="true" t="shared" si="62" ref="D247:P247">D242</f>
        <v>2</v>
      </c>
      <c r="E247" s="83">
        <f t="shared" si="62"/>
        <v>0</v>
      </c>
      <c r="F247" s="83">
        <f t="shared" si="62"/>
        <v>2</v>
      </c>
      <c r="G247" s="83">
        <f t="shared" si="62"/>
        <v>49</v>
      </c>
      <c r="H247" s="83">
        <f t="shared" si="62"/>
        <v>0</v>
      </c>
      <c r="I247" s="83">
        <f t="shared" si="62"/>
        <v>49</v>
      </c>
      <c r="J247" s="83">
        <f t="shared" si="62"/>
        <v>31</v>
      </c>
      <c r="K247" s="83">
        <f t="shared" si="62"/>
        <v>0</v>
      </c>
      <c r="L247" s="83">
        <f t="shared" si="62"/>
        <v>31</v>
      </c>
      <c r="M247" s="83">
        <f t="shared" si="62"/>
        <v>0</v>
      </c>
      <c r="N247" s="83">
        <f t="shared" si="62"/>
        <v>0</v>
      </c>
      <c r="O247" s="83">
        <f t="shared" si="62"/>
        <v>0</v>
      </c>
      <c r="P247" s="83">
        <f t="shared" si="62"/>
        <v>82</v>
      </c>
      <c r="Q247" s="98"/>
      <c r="R247" s="98"/>
      <c r="IP247" s="100"/>
      <c r="IQ247" s="100"/>
      <c r="IR247" s="100"/>
      <c r="IS247" s="100"/>
      <c r="IT247" s="100"/>
    </row>
    <row r="248" spans="1:254" s="99" customFormat="1" ht="33" customHeight="1">
      <c r="A248" s="121" t="s">
        <v>47</v>
      </c>
      <c r="B248" s="122" t="s">
        <v>77</v>
      </c>
      <c r="C248" s="44">
        <f>C249+C251</f>
        <v>570</v>
      </c>
      <c r="D248" s="44">
        <f>D249+D250+D251</f>
        <v>9</v>
      </c>
      <c r="E248" s="44">
        <f>E249+E250+E251</f>
        <v>0</v>
      </c>
      <c r="F248" s="44">
        <f>F249+F250+F251</f>
        <v>9</v>
      </c>
      <c r="G248" s="44">
        <f aca="true" t="shared" si="63" ref="G248:O248">G249+G250+G251</f>
        <v>250</v>
      </c>
      <c r="H248" s="44">
        <f t="shared" si="63"/>
        <v>0</v>
      </c>
      <c r="I248" s="44">
        <f t="shared" si="63"/>
        <v>250</v>
      </c>
      <c r="J248" s="44">
        <f t="shared" si="63"/>
        <v>311</v>
      </c>
      <c r="K248" s="44">
        <f t="shared" si="63"/>
        <v>0</v>
      </c>
      <c r="L248" s="44">
        <f t="shared" si="63"/>
        <v>311</v>
      </c>
      <c r="M248" s="44">
        <f t="shared" si="63"/>
        <v>0</v>
      </c>
      <c r="N248" s="44">
        <f t="shared" si="63"/>
        <v>0</v>
      </c>
      <c r="O248" s="44">
        <f t="shared" si="63"/>
        <v>0</v>
      </c>
      <c r="P248" s="44">
        <f>F248+I248+L248+O248</f>
        <v>570</v>
      </c>
      <c r="Q248" s="98"/>
      <c r="R248" s="98"/>
      <c r="IP248" s="100"/>
      <c r="IQ248" s="100"/>
      <c r="IR248" s="100"/>
      <c r="IS248" s="100"/>
      <c r="IT248" s="100"/>
    </row>
    <row r="249" spans="1:254" s="99" customFormat="1" ht="16.5" customHeight="1">
      <c r="A249" s="46" t="s">
        <v>58</v>
      </c>
      <c r="B249" s="119" t="s">
        <v>22</v>
      </c>
      <c r="C249" s="83">
        <f>D249+G249+J249+M249</f>
        <v>477</v>
      </c>
      <c r="D249" s="83">
        <v>6</v>
      </c>
      <c r="E249" s="84"/>
      <c r="F249" s="32">
        <f>D249+E249</f>
        <v>6</v>
      </c>
      <c r="G249" s="83">
        <v>210</v>
      </c>
      <c r="H249" s="84">
        <v>-216</v>
      </c>
      <c r="I249" s="32">
        <f>G249+H249</f>
        <v>-6</v>
      </c>
      <c r="J249" s="83">
        <v>261</v>
      </c>
      <c r="K249" s="84">
        <v>-261</v>
      </c>
      <c r="L249" s="32">
        <f>J249+K249</f>
        <v>0</v>
      </c>
      <c r="M249" s="83"/>
      <c r="N249" s="84"/>
      <c r="O249" s="32">
        <f>M249+N249</f>
        <v>0</v>
      </c>
      <c r="P249" s="32">
        <f>F249+I249+L249+O249</f>
        <v>0</v>
      </c>
      <c r="Q249" s="98"/>
      <c r="R249" s="98"/>
      <c r="IP249" s="100"/>
      <c r="IQ249" s="100"/>
      <c r="IR249" s="100"/>
      <c r="IS249" s="100"/>
      <c r="IT249" s="100"/>
    </row>
    <row r="250" spans="1:254" s="99" customFormat="1" ht="16.5" customHeight="1">
      <c r="A250" s="46" t="s">
        <v>59</v>
      </c>
      <c r="B250" s="119" t="s">
        <v>29</v>
      </c>
      <c r="C250" s="83">
        <f>D250+G250+J250+M250</f>
        <v>0</v>
      </c>
      <c r="D250" s="83"/>
      <c r="E250" s="84"/>
      <c r="F250" s="32"/>
      <c r="G250" s="83"/>
      <c r="H250" s="84">
        <f>210+6</f>
        <v>216</v>
      </c>
      <c r="I250" s="32">
        <f>G250+H250</f>
        <v>216</v>
      </c>
      <c r="J250" s="83"/>
      <c r="K250" s="84">
        <f>261</f>
        <v>261</v>
      </c>
      <c r="L250" s="32">
        <f>J250+K250</f>
        <v>261</v>
      </c>
      <c r="M250" s="83"/>
      <c r="N250" s="84"/>
      <c r="O250" s="32"/>
      <c r="P250" s="32">
        <f>F250+I250+L250+O250</f>
        <v>477</v>
      </c>
      <c r="Q250" s="98"/>
      <c r="R250" s="98"/>
      <c r="IP250" s="100"/>
      <c r="IQ250" s="100"/>
      <c r="IR250" s="100"/>
      <c r="IS250" s="100"/>
      <c r="IT250" s="100"/>
    </row>
    <row r="251" spans="1:254" s="99" customFormat="1" ht="16.5" customHeight="1">
      <c r="A251" s="41" t="s">
        <v>60</v>
      </c>
      <c r="B251" s="119" t="s">
        <v>26</v>
      </c>
      <c r="C251" s="83">
        <f>D251+G251+J251+M251</f>
        <v>93</v>
      </c>
      <c r="D251" s="83">
        <v>3</v>
      </c>
      <c r="E251" s="84"/>
      <c r="F251" s="32">
        <f>D251+E251</f>
        <v>3</v>
      </c>
      <c r="G251" s="83">
        <v>40</v>
      </c>
      <c r="H251" s="84"/>
      <c r="I251" s="32">
        <f>G251+H251</f>
        <v>40</v>
      </c>
      <c r="J251" s="83">
        <v>50</v>
      </c>
      <c r="K251" s="84"/>
      <c r="L251" s="32">
        <f>J251+K251</f>
        <v>50</v>
      </c>
      <c r="M251" s="83"/>
      <c r="N251" s="84"/>
      <c r="O251" s="32">
        <f>M251+N251</f>
        <v>0</v>
      </c>
      <c r="P251" s="32">
        <f>F251+I251+L251+O251</f>
        <v>93</v>
      </c>
      <c r="Q251" s="98"/>
      <c r="R251" s="98"/>
      <c r="IP251" s="100"/>
      <c r="IQ251" s="100"/>
      <c r="IR251" s="100"/>
      <c r="IS251" s="100"/>
      <c r="IT251" s="100"/>
    </row>
    <row r="252" spans="1:254" s="99" customFormat="1" ht="16.5" customHeight="1" hidden="1">
      <c r="A252" s="41"/>
      <c r="B252" s="46"/>
      <c r="C252" s="83"/>
      <c r="D252" s="83"/>
      <c r="E252" s="84"/>
      <c r="F252" s="32"/>
      <c r="G252" s="83"/>
      <c r="H252" s="84"/>
      <c r="I252" s="32"/>
      <c r="J252" s="83"/>
      <c r="K252" s="84"/>
      <c r="L252" s="32">
        <f>J252+K252</f>
        <v>0</v>
      </c>
      <c r="M252" s="83"/>
      <c r="N252" s="84"/>
      <c r="O252" s="32">
        <f>M252+N252</f>
        <v>0</v>
      </c>
      <c r="P252" s="32"/>
      <c r="Q252" s="98"/>
      <c r="R252" s="98"/>
      <c r="IP252" s="100"/>
      <c r="IQ252" s="100"/>
      <c r="IR252" s="100"/>
      <c r="IS252" s="100"/>
      <c r="IT252" s="100"/>
    </row>
    <row r="253" spans="1:254" s="99" customFormat="1" ht="16.5" customHeight="1" hidden="1">
      <c r="A253" s="42"/>
      <c r="B253" s="120"/>
      <c r="C253" s="116">
        <f>C254+C256</f>
        <v>570</v>
      </c>
      <c r="D253" s="116">
        <f>D254+D255+D256</f>
        <v>9</v>
      </c>
      <c r="E253" s="116">
        <f aca="true" t="shared" si="64" ref="E253:O253">E254+E255+E256</f>
        <v>0</v>
      </c>
      <c r="F253" s="116">
        <f t="shared" si="64"/>
        <v>9</v>
      </c>
      <c r="G253" s="116">
        <f t="shared" si="64"/>
        <v>250</v>
      </c>
      <c r="H253" s="116">
        <f t="shared" si="64"/>
        <v>0</v>
      </c>
      <c r="I253" s="116">
        <f t="shared" si="64"/>
        <v>250</v>
      </c>
      <c r="J253" s="116">
        <f t="shared" si="64"/>
        <v>311</v>
      </c>
      <c r="K253" s="116">
        <f t="shared" si="64"/>
        <v>0</v>
      </c>
      <c r="L253" s="116">
        <f t="shared" si="64"/>
        <v>311</v>
      </c>
      <c r="M253" s="116">
        <f t="shared" si="64"/>
        <v>0</v>
      </c>
      <c r="N253" s="116">
        <f t="shared" si="64"/>
        <v>0</v>
      </c>
      <c r="O253" s="116">
        <f t="shared" si="64"/>
        <v>0</v>
      </c>
      <c r="P253" s="116">
        <f>F253+I253+L253+O253</f>
        <v>570</v>
      </c>
      <c r="Q253" s="98"/>
      <c r="R253" s="98"/>
      <c r="IP253" s="100"/>
      <c r="IQ253" s="100"/>
      <c r="IR253" s="100"/>
      <c r="IS253" s="100"/>
      <c r="IT253" s="100"/>
    </row>
    <row r="254" spans="1:254" s="99" customFormat="1" ht="16.5" customHeight="1" hidden="1">
      <c r="A254" s="41" t="s">
        <v>61</v>
      </c>
      <c r="B254" s="118" t="s">
        <v>67</v>
      </c>
      <c r="C254" s="83">
        <f>D254+G254+J254+M254</f>
        <v>477</v>
      </c>
      <c r="D254" s="83">
        <f aca="true" t="shared" si="65" ref="D254:O254">D249</f>
        <v>6</v>
      </c>
      <c r="E254" s="83">
        <f t="shared" si="65"/>
        <v>0</v>
      </c>
      <c r="F254" s="83">
        <f t="shared" si="65"/>
        <v>6</v>
      </c>
      <c r="G254" s="83">
        <f t="shared" si="65"/>
        <v>210</v>
      </c>
      <c r="H254" s="83">
        <f t="shared" si="65"/>
        <v>-216</v>
      </c>
      <c r="I254" s="83">
        <f t="shared" si="65"/>
        <v>-6</v>
      </c>
      <c r="J254" s="83">
        <f t="shared" si="65"/>
        <v>261</v>
      </c>
      <c r="K254" s="83">
        <f t="shared" si="65"/>
        <v>-261</v>
      </c>
      <c r="L254" s="83">
        <f t="shared" si="65"/>
        <v>0</v>
      </c>
      <c r="M254" s="83">
        <f t="shared" si="65"/>
        <v>0</v>
      </c>
      <c r="N254" s="83">
        <f t="shared" si="65"/>
        <v>0</v>
      </c>
      <c r="O254" s="83">
        <f t="shared" si="65"/>
        <v>0</v>
      </c>
      <c r="P254" s="116">
        <f>F254+I254+L254+O254</f>
        <v>0</v>
      </c>
      <c r="Q254" s="98"/>
      <c r="R254" s="98"/>
      <c r="IP254" s="100"/>
      <c r="IQ254" s="100"/>
      <c r="IR254" s="100"/>
      <c r="IS254" s="100"/>
      <c r="IT254" s="100"/>
    </row>
    <row r="255" spans="1:254" s="99" customFormat="1" ht="16.5" customHeight="1" hidden="1">
      <c r="A255" s="41" t="s">
        <v>62</v>
      </c>
      <c r="B255" s="118" t="s">
        <v>65</v>
      </c>
      <c r="C255" s="83">
        <f>D255+G255+J255+M255</f>
        <v>0</v>
      </c>
      <c r="D255" s="83"/>
      <c r="E255" s="83"/>
      <c r="F255" s="83"/>
      <c r="G255" s="83"/>
      <c r="H255" s="83">
        <v>216</v>
      </c>
      <c r="I255" s="83">
        <f>H255+G255</f>
        <v>216</v>
      </c>
      <c r="J255" s="83"/>
      <c r="K255" s="83">
        <v>261</v>
      </c>
      <c r="L255" s="83">
        <f>K255+J255</f>
        <v>261</v>
      </c>
      <c r="M255" s="83"/>
      <c r="N255" s="83"/>
      <c r="O255" s="83"/>
      <c r="P255" s="116">
        <f>F255+I255+L255+O255</f>
        <v>477</v>
      </c>
      <c r="Q255" s="98"/>
      <c r="R255" s="98"/>
      <c r="IP255" s="100"/>
      <c r="IQ255" s="100"/>
      <c r="IR255" s="100"/>
      <c r="IS255" s="100"/>
      <c r="IT255" s="100"/>
    </row>
    <row r="256" spans="1:254" s="99" customFormat="1" ht="16.5" customHeight="1" hidden="1">
      <c r="A256" s="41" t="s">
        <v>63</v>
      </c>
      <c r="B256" s="118" t="s">
        <v>68</v>
      </c>
      <c r="C256" s="83">
        <f>D256+G256+J256+M256</f>
        <v>93</v>
      </c>
      <c r="D256" s="83">
        <f aca="true" t="shared" si="66" ref="D256:O256">D251</f>
        <v>3</v>
      </c>
      <c r="E256" s="83">
        <f t="shared" si="66"/>
        <v>0</v>
      </c>
      <c r="F256" s="83">
        <f t="shared" si="66"/>
        <v>3</v>
      </c>
      <c r="G256" s="83">
        <f t="shared" si="66"/>
        <v>40</v>
      </c>
      <c r="H256" s="83">
        <f t="shared" si="66"/>
        <v>0</v>
      </c>
      <c r="I256" s="83">
        <f t="shared" si="66"/>
        <v>40</v>
      </c>
      <c r="J256" s="83">
        <f t="shared" si="66"/>
        <v>50</v>
      </c>
      <c r="K256" s="83">
        <f t="shared" si="66"/>
        <v>0</v>
      </c>
      <c r="L256" s="83">
        <f t="shared" si="66"/>
        <v>50</v>
      </c>
      <c r="M256" s="83">
        <f t="shared" si="66"/>
        <v>0</v>
      </c>
      <c r="N256" s="83">
        <f t="shared" si="66"/>
        <v>0</v>
      </c>
      <c r="O256" s="83">
        <f t="shared" si="66"/>
        <v>0</v>
      </c>
      <c r="P256" s="116">
        <f>F256+I256+L256+O256</f>
        <v>93</v>
      </c>
      <c r="Q256" s="98"/>
      <c r="R256" s="98"/>
      <c r="IP256" s="100"/>
      <c r="IQ256" s="100"/>
      <c r="IR256" s="100"/>
      <c r="IS256" s="100"/>
      <c r="IT256" s="100"/>
    </row>
    <row r="257" spans="1:254" s="99" customFormat="1" ht="34.5" customHeight="1">
      <c r="A257" s="121" t="s">
        <v>32</v>
      </c>
      <c r="B257" s="122" t="s">
        <v>78</v>
      </c>
      <c r="C257" s="44">
        <f>C258+C259+C260</f>
        <v>48</v>
      </c>
      <c r="D257" s="44">
        <f aca="true" t="shared" si="67" ref="D257:O257">D258+D259+D260</f>
        <v>8</v>
      </c>
      <c r="E257" s="44">
        <f t="shared" si="67"/>
        <v>0</v>
      </c>
      <c r="F257" s="44">
        <f t="shared" si="67"/>
        <v>8</v>
      </c>
      <c r="G257" s="44">
        <f t="shared" si="67"/>
        <v>20</v>
      </c>
      <c r="H257" s="44">
        <f t="shared" si="67"/>
        <v>0</v>
      </c>
      <c r="I257" s="44">
        <f t="shared" si="67"/>
        <v>20</v>
      </c>
      <c r="J257" s="44">
        <f t="shared" si="67"/>
        <v>20</v>
      </c>
      <c r="K257" s="44">
        <f t="shared" si="67"/>
        <v>0</v>
      </c>
      <c r="L257" s="44">
        <f t="shared" si="67"/>
        <v>20</v>
      </c>
      <c r="M257" s="44">
        <f t="shared" si="67"/>
        <v>0</v>
      </c>
      <c r="N257" s="44">
        <f t="shared" si="67"/>
        <v>0</v>
      </c>
      <c r="O257" s="44">
        <f t="shared" si="67"/>
        <v>0</v>
      </c>
      <c r="P257" s="44">
        <v>48</v>
      </c>
      <c r="Q257" s="98"/>
      <c r="R257" s="98"/>
      <c r="IP257" s="100"/>
      <c r="IQ257" s="100"/>
      <c r="IR257" s="100"/>
      <c r="IS257" s="100"/>
      <c r="IT257" s="100"/>
    </row>
    <row r="258" spans="1:254" s="99" customFormat="1" ht="16.5" customHeight="1">
      <c r="A258" s="46" t="s">
        <v>58</v>
      </c>
      <c r="B258" s="119" t="s">
        <v>22</v>
      </c>
      <c r="C258" s="83">
        <v>40</v>
      </c>
      <c r="D258" s="83">
        <v>6</v>
      </c>
      <c r="E258" s="84"/>
      <c r="F258" s="32">
        <v>6</v>
      </c>
      <c r="G258" s="83">
        <v>17</v>
      </c>
      <c r="H258" s="84">
        <v>-23</v>
      </c>
      <c r="I258" s="32">
        <v>-6</v>
      </c>
      <c r="J258" s="83">
        <v>17</v>
      </c>
      <c r="K258" s="84">
        <v>-17</v>
      </c>
      <c r="L258" s="32">
        <v>0</v>
      </c>
      <c r="M258" s="83"/>
      <c r="N258" s="84"/>
      <c r="O258" s="32">
        <v>0</v>
      </c>
      <c r="P258" s="32">
        <v>0</v>
      </c>
      <c r="Q258" s="98"/>
      <c r="R258" s="98"/>
      <c r="IP258" s="100"/>
      <c r="IQ258" s="100"/>
      <c r="IR258" s="100"/>
      <c r="IS258" s="100"/>
      <c r="IT258" s="100"/>
    </row>
    <row r="259" spans="1:254" s="99" customFormat="1" ht="16.5" customHeight="1">
      <c r="A259" s="46" t="s">
        <v>59</v>
      </c>
      <c r="B259" s="119" t="s">
        <v>29</v>
      </c>
      <c r="C259" s="83">
        <v>0</v>
      </c>
      <c r="D259" s="83"/>
      <c r="E259" s="84"/>
      <c r="F259" s="32"/>
      <c r="G259" s="83"/>
      <c r="H259" s="84">
        <f>17+6</f>
        <v>23</v>
      </c>
      <c r="I259" s="32">
        <v>23</v>
      </c>
      <c r="J259" s="83"/>
      <c r="K259" s="84">
        <v>17</v>
      </c>
      <c r="L259" s="32">
        <v>17</v>
      </c>
      <c r="M259" s="83"/>
      <c r="N259" s="84"/>
      <c r="O259" s="32"/>
      <c r="P259" s="32">
        <f>F259+I259+L259+O259</f>
        <v>40</v>
      </c>
      <c r="Q259" s="98"/>
      <c r="R259" s="98"/>
      <c r="IP259" s="100"/>
      <c r="IQ259" s="100"/>
      <c r="IR259" s="100"/>
      <c r="IS259" s="100"/>
      <c r="IT259" s="100"/>
    </row>
    <row r="260" spans="1:254" s="99" customFormat="1" ht="16.5" customHeight="1">
      <c r="A260" s="41" t="s">
        <v>60</v>
      </c>
      <c r="B260" s="119" t="s">
        <v>26</v>
      </c>
      <c r="C260" s="83">
        <v>8</v>
      </c>
      <c r="D260" s="83">
        <v>2</v>
      </c>
      <c r="E260" s="84"/>
      <c r="F260" s="32">
        <v>2</v>
      </c>
      <c r="G260" s="83">
        <v>3</v>
      </c>
      <c r="H260" s="84"/>
      <c r="I260" s="32">
        <v>3</v>
      </c>
      <c r="J260" s="83">
        <v>3</v>
      </c>
      <c r="K260" s="84"/>
      <c r="L260" s="32">
        <v>3</v>
      </c>
      <c r="M260" s="83"/>
      <c r="N260" s="84"/>
      <c r="O260" s="32">
        <v>0</v>
      </c>
      <c r="P260" s="32">
        <v>8</v>
      </c>
      <c r="Q260" s="98"/>
      <c r="R260" s="98"/>
      <c r="IP260" s="100"/>
      <c r="IQ260" s="100"/>
      <c r="IR260" s="100"/>
      <c r="IS260" s="100"/>
      <c r="IT260" s="100"/>
    </row>
    <row r="261" spans="1:254" s="99" customFormat="1" ht="16.5" customHeight="1" hidden="1">
      <c r="A261" s="41"/>
      <c r="B261" s="46"/>
      <c r="C261" s="83"/>
      <c r="D261" s="83"/>
      <c r="E261" s="84"/>
      <c r="F261" s="32"/>
      <c r="G261" s="83"/>
      <c r="H261" s="84"/>
      <c r="I261" s="32"/>
      <c r="J261" s="83"/>
      <c r="K261" s="84"/>
      <c r="L261" s="32">
        <v>0</v>
      </c>
      <c r="M261" s="83"/>
      <c r="N261" s="84"/>
      <c r="O261" s="32">
        <v>0</v>
      </c>
      <c r="P261" s="32"/>
      <c r="Q261" s="98"/>
      <c r="R261" s="98"/>
      <c r="IP261" s="100"/>
      <c r="IQ261" s="100"/>
      <c r="IR261" s="100"/>
      <c r="IS261" s="100"/>
      <c r="IT261" s="100"/>
    </row>
    <row r="262" spans="1:254" s="99" customFormat="1" ht="16.5" customHeight="1" hidden="1">
      <c r="A262" s="42"/>
      <c r="B262" s="120"/>
      <c r="C262" s="116">
        <f>C263+C264+C265</f>
        <v>48</v>
      </c>
      <c r="D262" s="116">
        <f aca="true" t="shared" si="68" ref="D262:O262">D263+D264+D265</f>
        <v>8</v>
      </c>
      <c r="E262" s="116">
        <f t="shared" si="68"/>
        <v>0</v>
      </c>
      <c r="F262" s="116">
        <f t="shared" si="68"/>
        <v>8</v>
      </c>
      <c r="G262" s="116">
        <f t="shared" si="68"/>
        <v>20</v>
      </c>
      <c r="H262" s="116">
        <f t="shared" si="68"/>
        <v>0</v>
      </c>
      <c r="I262" s="116">
        <f t="shared" si="68"/>
        <v>20</v>
      </c>
      <c r="J262" s="116">
        <f t="shared" si="68"/>
        <v>20</v>
      </c>
      <c r="K262" s="116">
        <f t="shared" si="68"/>
        <v>0</v>
      </c>
      <c r="L262" s="116">
        <f t="shared" si="68"/>
        <v>20</v>
      </c>
      <c r="M262" s="116">
        <f t="shared" si="68"/>
        <v>0</v>
      </c>
      <c r="N262" s="116">
        <f t="shared" si="68"/>
        <v>0</v>
      </c>
      <c r="O262" s="116">
        <f t="shared" si="68"/>
        <v>0</v>
      </c>
      <c r="P262" s="116">
        <v>48</v>
      </c>
      <c r="Q262" s="98"/>
      <c r="R262" s="98"/>
      <c r="IP262" s="100"/>
      <c r="IQ262" s="100"/>
      <c r="IR262" s="100"/>
      <c r="IS262" s="100"/>
      <c r="IT262" s="100"/>
    </row>
    <row r="263" spans="1:254" s="99" customFormat="1" ht="16.5" customHeight="1" hidden="1">
      <c r="A263" s="41" t="s">
        <v>61</v>
      </c>
      <c r="B263" s="118" t="s">
        <v>67</v>
      </c>
      <c r="C263" s="83">
        <f>D263+G263+J263+M263</f>
        <v>40</v>
      </c>
      <c r="D263" s="83">
        <v>6</v>
      </c>
      <c r="E263" s="83">
        <v>0</v>
      </c>
      <c r="F263" s="83">
        <v>6</v>
      </c>
      <c r="G263" s="83">
        <v>17</v>
      </c>
      <c r="H263" s="83">
        <v>-23</v>
      </c>
      <c r="I263" s="83">
        <v>-6</v>
      </c>
      <c r="J263" s="83">
        <v>17</v>
      </c>
      <c r="K263" s="83">
        <v>-17</v>
      </c>
      <c r="L263" s="83">
        <v>0</v>
      </c>
      <c r="M263" s="83">
        <v>0</v>
      </c>
      <c r="N263" s="83">
        <v>0</v>
      </c>
      <c r="O263" s="83">
        <v>0</v>
      </c>
      <c r="P263" s="83">
        <v>0</v>
      </c>
      <c r="Q263" s="98"/>
      <c r="R263" s="98"/>
      <c r="IP263" s="100"/>
      <c r="IQ263" s="100"/>
      <c r="IR263" s="100"/>
      <c r="IS263" s="100"/>
      <c r="IT263" s="100"/>
    </row>
    <row r="264" spans="1:254" s="99" customFormat="1" ht="16.5" customHeight="1" hidden="1">
      <c r="A264" s="41" t="s">
        <v>62</v>
      </c>
      <c r="B264" s="118" t="s">
        <v>65</v>
      </c>
      <c r="C264" s="83">
        <v>0</v>
      </c>
      <c r="D264" s="83"/>
      <c r="E264" s="83"/>
      <c r="F264" s="83"/>
      <c r="G264" s="83"/>
      <c r="H264" s="83">
        <f>G263+F263</f>
        <v>23</v>
      </c>
      <c r="I264" s="83">
        <v>23</v>
      </c>
      <c r="J264" s="83"/>
      <c r="K264" s="83">
        <v>17</v>
      </c>
      <c r="L264" s="83">
        <v>17</v>
      </c>
      <c r="M264" s="83"/>
      <c r="N264" s="83"/>
      <c r="O264" s="83"/>
      <c r="P264" s="83">
        <f>F264+I264+L264+O264</f>
        <v>40</v>
      </c>
      <c r="Q264" s="98"/>
      <c r="R264" s="98"/>
      <c r="IP264" s="100"/>
      <c r="IQ264" s="100"/>
      <c r="IR264" s="100"/>
      <c r="IS264" s="100"/>
      <c r="IT264" s="100"/>
    </row>
    <row r="265" spans="1:254" s="99" customFormat="1" ht="16.5" customHeight="1" hidden="1">
      <c r="A265" s="41" t="s">
        <v>63</v>
      </c>
      <c r="B265" s="118" t="s">
        <v>68</v>
      </c>
      <c r="C265" s="83">
        <f>D265+G265+J265+M265</f>
        <v>8</v>
      </c>
      <c r="D265" s="83">
        <v>2</v>
      </c>
      <c r="E265" s="83">
        <v>0</v>
      </c>
      <c r="F265" s="83">
        <v>2</v>
      </c>
      <c r="G265" s="83">
        <v>3</v>
      </c>
      <c r="H265" s="83">
        <v>0</v>
      </c>
      <c r="I265" s="83">
        <v>3</v>
      </c>
      <c r="J265" s="83">
        <v>3</v>
      </c>
      <c r="K265" s="83">
        <v>0</v>
      </c>
      <c r="L265" s="83">
        <v>3</v>
      </c>
      <c r="M265" s="83">
        <v>0</v>
      </c>
      <c r="N265" s="83">
        <v>0</v>
      </c>
      <c r="O265" s="83">
        <v>0</v>
      </c>
      <c r="P265" s="83">
        <v>8</v>
      </c>
      <c r="Q265" s="98"/>
      <c r="R265" s="98"/>
      <c r="IP265" s="100"/>
      <c r="IQ265" s="100"/>
      <c r="IR265" s="100"/>
      <c r="IS265" s="100"/>
      <c r="IT265" s="100"/>
    </row>
    <row r="266" spans="1:254" s="99" customFormat="1" ht="31.5" customHeight="1">
      <c r="A266" s="121" t="s">
        <v>32</v>
      </c>
      <c r="B266" s="122" t="s">
        <v>79</v>
      </c>
      <c r="C266" s="44">
        <f aca="true" t="shared" si="69" ref="C266:P266">C267+C269</f>
        <v>513</v>
      </c>
      <c r="D266" s="44">
        <f t="shared" si="69"/>
        <v>6</v>
      </c>
      <c r="E266" s="45">
        <f t="shared" si="69"/>
        <v>0</v>
      </c>
      <c r="F266" s="44">
        <f t="shared" si="69"/>
        <v>6</v>
      </c>
      <c r="G266" s="44">
        <f t="shared" si="69"/>
        <v>172</v>
      </c>
      <c r="H266" s="45">
        <f t="shared" si="69"/>
        <v>0</v>
      </c>
      <c r="I266" s="44">
        <f t="shared" si="69"/>
        <v>172</v>
      </c>
      <c r="J266" s="44">
        <f t="shared" si="69"/>
        <v>335</v>
      </c>
      <c r="K266" s="45">
        <f t="shared" si="69"/>
        <v>0</v>
      </c>
      <c r="L266" s="44">
        <f t="shared" si="69"/>
        <v>335</v>
      </c>
      <c r="M266" s="44">
        <f t="shared" si="69"/>
        <v>0</v>
      </c>
      <c r="N266" s="45">
        <f t="shared" si="69"/>
        <v>0</v>
      </c>
      <c r="O266" s="44">
        <f t="shared" si="69"/>
        <v>0</v>
      </c>
      <c r="P266" s="44">
        <f t="shared" si="69"/>
        <v>513</v>
      </c>
      <c r="Q266" s="98"/>
      <c r="R266" s="98"/>
      <c r="IP266" s="100"/>
      <c r="IQ266" s="100"/>
      <c r="IR266" s="100"/>
      <c r="IS266" s="100"/>
      <c r="IT266" s="100"/>
    </row>
    <row r="267" spans="1:254" s="99" customFormat="1" ht="16.5" customHeight="1">
      <c r="A267" s="46" t="s">
        <v>58</v>
      </c>
      <c r="B267" s="119" t="s">
        <v>22</v>
      </c>
      <c r="C267" s="83">
        <f>F267+I267+L267+O267</f>
        <v>432</v>
      </c>
      <c r="D267" s="83">
        <v>5</v>
      </c>
      <c r="E267" s="84"/>
      <c r="F267" s="32">
        <f>D267+E267</f>
        <v>5</v>
      </c>
      <c r="G267" s="83">
        <v>145</v>
      </c>
      <c r="H267" s="84"/>
      <c r="I267" s="32">
        <f>G267+H267</f>
        <v>145</v>
      </c>
      <c r="J267" s="83">
        <v>282</v>
      </c>
      <c r="K267" s="84"/>
      <c r="L267" s="32">
        <f>J267+K267</f>
        <v>282</v>
      </c>
      <c r="M267" s="83"/>
      <c r="N267" s="84"/>
      <c r="O267" s="32">
        <f>M267+N267</f>
        <v>0</v>
      </c>
      <c r="P267" s="32">
        <f>F267+I267+L267+O267</f>
        <v>432</v>
      </c>
      <c r="Q267" s="98"/>
      <c r="R267" s="98"/>
      <c r="IP267" s="100"/>
      <c r="IQ267" s="100"/>
      <c r="IR267" s="100"/>
      <c r="IS267" s="100"/>
      <c r="IT267" s="100"/>
    </row>
    <row r="268" spans="1:254" s="99" customFormat="1" ht="16.5" customHeight="1">
      <c r="A268" s="46" t="s">
        <v>59</v>
      </c>
      <c r="B268" s="119" t="s">
        <v>29</v>
      </c>
      <c r="C268" s="83"/>
      <c r="D268" s="83"/>
      <c r="E268" s="84"/>
      <c r="F268" s="32"/>
      <c r="G268" s="83"/>
      <c r="H268" s="84"/>
      <c r="I268" s="32"/>
      <c r="J268" s="83"/>
      <c r="K268" s="84"/>
      <c r="L268" s="32"/>
      <c r="M268" s="83"/>
      <c r="N268" s="84"/>
      <c r="O268" s="32"/>
      <c r="P268" s="32"/>
      <c r="Q268" s="98"/>
      <c r="R268" s="98"/>
      <c r="IP268" s="100"/>
      <c r="IQ268" s="100"/>
      <c r="IR268" s="100"/>
      <c r="IS268" s="100"/>
      <c r="IT268" s="100"/>
    </row>
    <row r="269" spans="1:254" s="99" customFormat="1" ht="16.5" customHeight="1">
      <c r="A269" s="41" t="s">
        <v>60</v>
      </c>
      <c r="B269" s="119" t="s">
        <v>26</v>
      </c>
      <c r="C269" s="83">
        <f>F269+I269+L269+O269</f>
        <v>81</v>
      </c>
      <c r="D269" s="83">
        <v>1</v>
      </c>
      <c r="E269" s="84"/>
      <c r="F269" s="32">
        <f>D269+E269</f>
        <v>1</v>
      </c>
      <c r="G269" s="83">
        <v>27</v>
      </c>
      <c r="H269" s="84"/>
      <c r="I269" s="32">
        <f>G269+H269</f>
        <v>27</v>
      </c>
      <c r="J269" s="83">
        <v>53</v>
      </c>
      <c r="K269" s="84"/>
      <c r="L269" s="32">
        <f>J269+K269</f>
        <v>53</v>
      </c>
      <c r="M269" s="83"/>
      <c r="N269" s="84"/>
      <c r="O269" s="32">
        <f>M269+N269</f>
        <v>0</v>
      </c>
      <c r="P269" s="32">
        <f>F269+I269+L269+O269</f>
        <v>81</v>
      </c>
      <c r="Q269" s="98"/>
      <c r="R269" s="98"/>
      <c r="IP269" s="100"/>
      <c r="IQ269" s="100"/>
      <c r="IR269" s="100"/>
      <c r="IS269" s="100"/>
      <c r="IT269" s="100"/>
    </row>
    <row r="270" spans="1:254" s="99" customFormat="1" ht="16.5" customHeight="1" hidden="1">
      <c r="A270" s="41"/>
      <c r="B270" s="46"/>
      <c r="C270" s="83"/>
      <c r="D270" s="83"/>
      <c r="E270" s="84"/>
      <c r="F270" s="32"/>
      <c r="G270" s="83"/>
      <c r="H270" s="84"/>
      <c r="I270" s="32"/>
      <c r="J270" s="83"/>
      <c r="K270" s="84"/>
      <c r="L270" s="32">
        <f>J270+K270</f>
        <v>0</v>
      </c>
      <c r="M270" s="83"/>
      <c r="N270" s="84"/>
      <c r="O270" s="32">
        <f>M270+N270</f>
        <v>0</v>
      </c>
      <c r="P270" s="32"/>
      <c r="Q270" s="98"/>
      <c r="R270" s="98"/>
      <c r="IP270" s="100"/>
      <c r="IQ270" s="100"/>
      <c r="IR270" s="100"/>
      <c r="IS270" s="100"/>
      <c r="IT270" s="100"/>
    </row>
    <row r="271" spans="1:254" s="99" customFormat="1" ht="16.5" customHeight="1" hidden="1">
      <c r="A271" s="42"/>
      <c r="B271" s="120"/>
      <c r="C271" s="116">
        <f aca="true" t="shared" si="70" ref="C271:P271">C272+C274</f>
        <v>513</v>
      </c>
      <c r="D271" s="116">
        <f t="shared" si="70"/>
        <v>6</v>
      </c>
      <c r="E271" s="117">
        <f t="shared" si="70"/>
        <v>0</v>
      </c>
      <c r="F271" s="116">
        <f t="shared" si="70"/>
        <v>6</v>
      </c>
      <c r="G271" s="116">
        <f t="shared" si="70"/>
        <v>172</v>
      </c>
      <c r="H271" s="117">
        <f t="shared" si="70"/>
        <v>0</v>
      </c>
      <c r="I271" s="116">
        <f t="shared" si="70"/>
        <v>172</v>
      </c>
      <c r="J271" s="116">
        <f t="shared" si="70"/>
        <v>335</v>
      </c>
      <c r="K271" s="117">
        <f t="shared" si="70"/>
        <v>0</v>
      </c>
      <c r="L271" s="116">
        <f t="shared" si="70"/>
        <v>335</v>
      </c>
      <c r="M271" s="116">
        <f t="shared" si="70"/>
        <v>0</v>
      </c>
      <c r="N271" s="117">
        <f t="shared" si="70"/>
        <v>0</v>
      </c>
      <c r="O271" s="116">
        <f t="shared" si="70"/>
        <v>0</v>
      </c>
      <c r="P271" s="116">
        <f t="shared" si="70"/>
        <v>513</v>
      </c>
      <c r="Q271" s="98"/>
      <c r="R271" s="98"/>
      <c r="IP271" s="100"/>
      <c r="IQ271" s="100"/>
      <c r="IR271" s="100"/>
      <c r="IS271" s="100"/>
      <c r="IT271" s="100"/>
    </row>
    <row r="272" spans="1:254" s="99" customFormat="1" ht="16.5" customHeight="1" hidden="1">
      <c r="A272" s="41" t="s">
        <v>61</v>
      </c>
      <c r="B272" s="118" t="s">
        <v>67</v>
      </c>
      <c r="C272" s="83">
        <f>F272+I272+L272+O272</f>
        <v>432</v>
      </c>
      <c r="D272" s="83">
        <f aca="true" t="shared" si="71" ref="D272:P272">D267</f>
        <v>5</v>
      </c>
      <c r="E272" s="83">
        <f t="shared" si="71"/>
        <v>0</v>
      </c>
      <c r="F272" s="83">
        <f t="shared" si="71"/>
        <v>5</v>
      </c>
      <c r="G272" s="83">
        <f t="shared" si="71"/>
        <v>145</v>
      </c>
      <c r="H272" s="83">
        <f t="shared" si="71"/>
        <v>0</v>
      </c>
      <c r="I272" s="83">
        <f t="shared" si="71"/>
        <v>145</v>
      </c>
      <c r="J272" s="83">
        <f t="shared" si="71"/>
        <v>282</v>
      </c>
      <c r="K272" s="83">
        <f t="shared" si="71"/>
        <v>0</v>
      </c>
      <c r="L272" s="83">
        <f t="shared" si="71"/>
        <v>282</v>
      </c>
      <c r="M272" s="83">
        <f t="shared" si="71"/>
        <v>0</v>
      </c>
      <c r="N272" s="83">
        <f t="shared" si="71"/>
        <v>0</v>
      </c>
      <c r="O272" s="83">
        <f t="shared" si="71"/>
        <v>0</v>
      </c>
      <c r="P272" s="83">
        <f t="shared" si="71"/>
        <v>432</v>
      </c>
      <c r="Q272" s="98"/>
      <c r="R272" s="98"/>
      <c r="IP272" s="100"/>
      <c r="IQ272" s="100"/>
      <c r="IR272" s="100"/>
      <c r="IS272" s="100"/>
      <c r="IT272" s="100"/>
    </row>
    <row r="273" spans="1:254" s="99" customFormat="1" ht="16.5" customHeight="1" hidden="1">
      <c r="A273" s="41" t="s">
        <v>62</v>
      </c>
      <c r="B273" s="118" t="s">
        <v>65</v>
      </c>
      <c r="C273" s="83"/>
      <c r="D273" s="83"/>
      <c r="E273" s="83"/>
      <c r="F273" s="83"/>
      <c r="G273" s="83"/>
      <c r="H273" s="83"/>
      <c r="I273" s="83"/>
      <c r="J273" s="83"/>
      <c r="K273" s="83"/>
      <c r="L273" s="83"/>
      <c r="M273" s="83"/>
      <c r="N273" s="83"/>
      <c r="O273" s="83"/>
      <c r="P273" s="83"/>
      <c r="Q273" s="98"/>
      <c r="R273" s="98"/>
      <c r="IP273" s="100"/>
      <c r="IQ273" s="100"/>
      <c r="IR273" s="100"/>
      <c r="IS273" s="100"/>
      <c r="IT273" s="100"/>
    </row>
    <row r="274" spans="1:254" s="99" customFormat="1" ht="16.5" customHeight="1" hidden="1">
      <c r="A274" s="41" t="s">
        <v>63</v>
      </c>
      <c r="B274" s="118" t="s">
        <v>68</v>
      </c>
      <c r="C274" s="83">
        <f>F274+I274+L274+O274</f>
        <v>81</v>
      </c>
      <c r="D274" s="83">
        <f aca="true" t="shared" si="72" ref="D274:P274">D269</f>
        <v>1</v>
      </c>
      <c r="E274" s="83">
        <f t="shared" si="72"/>
        <v>0</v>
      </c>
      <c r="F274" s="83">
        <f t="shared" si="72"/>
        <v>1</v>
      </c>
      <c r="G274" s="83">
        <f t="shared" si="72"/>
        <v>27</v>
      </c>
      <c r="H274" s="83">
        <f t="shared" si="72"/>
        <v>0</v>
      </c>
      <c r="I274" s="83">
        <f t="shared" si="72"/>
        <v>27</v>
      </c>
      <c r="J274" s="83">
        <f t="shared" si="72"/>
        <v>53</v>
      </c>
      <c r="K274" s="83">
        <f t="shared" si="72"/>
        <v>0</v>
      </c>
      <c r="L274" s="83">
        <f t="shared" si="72"/>
        <v>53</v>
      </c>
      <c r="M274" s="83">
        <f t="shared" si="72"/>
        <v>0</v>
      </c>
      <c r="N274" s="83">
        <f t="shared" si="72"/>
        <v>0</v>
      </c>
      <c r="O274" s="83">
        <f t="shared" si="72"/>
        <v>0</v>
      </c>
      <c r="P274" s="83">
        <f t="shared" si="72"/>
        <v>81</v>
      </c>
      <c r="Q274" s="98"/>
      <c r="R274" s="98"/>
      <c r="IP274" s="100"/>
      <c r="IQ274" s="100"/>
      <c r="IR274" s="100"/>
      <c r="IS274" s="100"/>
      <c r="IT274" s="100"/>
    </row>
    <row r="275" spans="1:254" s="99" customFormat="1" ht="34.5" customHeight="1">
      <c r="A275" s="121" t="s">
        <v>32</v>
      </c>
      <c r="B275" s="122" t="s">
        <v>80</v>
      </c>
      <c r="C275" s="44">
        <f>C276+C278+C277</f>
        <v>332</v>
      </c>
      <c r="D275" s="44">
        <f>D276+D278</f>
        <v>6</v>
      </c>
      <c r="E275" s="45">
        <f>E276+E278</f>
        <v>0</v>
      </c>
      <c r="F275" s="44">
        <f>F276+F278</f>
        <v>6</v>
      </c>
      <c r="G275" s="44">
        <f>G276+G278</f>
        <v>200</v>
      </c>
      <c r="H275" s="45">
        <f>H276+H278+H277</f>
        <v>0</v>
      </c>
      <c r="I275" s="44">
        <f>I276+I278+I277</f>
        <v>200</v>
      </c>
      <c r="J275" s="44">
        <f aca="true" t="shared" si="73" ref="J275:O275">J276+J278+J277</f>
        <v>126</v>
      </c>
      <c r="K275" s="44">
        <f t="shared" si="73"/>
        <v>0</v>
      </c>
      <c r="L275" s="44">
        <f t="shared" si="73"/>
        <v>126</v>
      </c>
      <c r="M275" s="44">
        <f t="shared" si="73"/>
        <v>0</v>
      </c>
      <c r="N275" s="44">
        <f t="shared" si="73"/>
        <v>0</v>
      </c>
      <c r="O275" s="44">
        <f t="shared" si="73"/>
        <v>0</v>
      </c>
      <c r="P275" s="44">
        <f>P276+P278+P277</f>
        <v>332</v>
      </c>
      <c r="Q275" s="98"/>
      <c r="R275" s="98"/>
      <c r="IP275" s="100"/>
      <c r="IQ275" s="100"/>
      <c r="IR275" s="100"/>
      <c r="IS275" s="100"/>
      <c r="IT275" s="100"/>
    </row>
    <row r="276" spans="1:254" s="99" customFormat="1" ht="16.5" customHeight="1">
      <c r="A276" s="46" t="s">
        <v>58</v>
      </c>
      <c r="B276" s="119" t="s">
        <v>22</v>
      </c>
      <c r="C276" s="83">
        <v>279</v>
      </c>
      <c r="D276" s="83">
        <v>5</v>
      </c>
      <c r="E276" s="84"/>
      <c r="F276" s="32">
        <f>D276+E276</f>
        <v>5</v>
      </c>
      <c r="G276" s="83">
        <v>168</v>
      </c>
      <c r="H276" s="84">
        <v>-173</v>
      </c>
      <c r="I276" s="32">
        <f>G276+H276</f>
        <v>-5</v>
      </c>
      <c r="J276" s="83">
        <v>106</v>
      </c>
      <c r="K276" s="84">
        <v>-106</v>
      </c>
      <c r="L276" s="32">
        <f>J276+K276</f>
        <v>0</v>
      </c>
      <c r="M276" s="83"/>
      <c r="N276" s="84"/>
      <c r="O276" s="32">
        <f>M276+N276</f>
        <v>0</v>
      </c>
      <c r="P276" s="32">
        <f>F276+I276+L276+O276</f>
        <v>0</v>
      </c>
      <c r="Q276" s="98"/>
      <c r="R276" s="98"/>
      <c r="IP276" s="100"/>
      <c r="IQ276" s="100"/>
      <c r="IR276" s="100"/>
      <c r="IS276" s="100"/>
      <c r="IT276" s="100"/>
    </row>
    <row r="277" spans="1:254" s="99" customFormat="1" ht="16.5" customHeight="1">
      <c r="A277" s="46" t="s">
        <v>59</v>
      </c>
      <c r="B277" s="119" t="s">
        <v>29</v>
      </c>
      <c r="C277" s="83"/>
      <c r="D277" s="83"/>
      <c r="E277" s="84"/>
      <c r="F277" s="32"/>
      <c r="G277" s="83"/>
      <c r="H277" s="84">
        <v>173</v>
      </c>
      <c r="I277" s="32">
        <f>G277+H277</f>
        <v>173</v>
      </c>
      <c r="J277" s="83">
        <v>0</v>
      </c>
      <c r="K277" s="84">
        <v>106</v>
      </c>
      <c r="L277" s="32">
        <f>J277+K277</f>
        <v>106</v>
      </c>
      <c r="M277" s="83"/>
      <c r="N277" s="84"/>
      <c r="O277" s="32"/>
      <c r="P277" s="32">
        <f>F277+I277+L277</f>
        <v>279</v>
      </c>
      <c r="Q277" s="98"/>
      <c r="R277" s="98"/>
      <c r="IP277" s="100"/>
      <c r="IQ277" s="100"/>
      <c r="IR277" s="100"/>
      <c r="IS277" s="100"/>
      <c r="IT277" s="100"/>
    </row>
    <row r="278" spans="1:254" s="99" customFormat="1" ht="16.5" customHeight="1">
      <c r="A278" s="41" t="s">
        <v>60</v>
      </c>
      <c r="B278" s="119" t="s">
        <v>26</v>
      </c>
      <c r="C278" s="83">
        <f>F278+I278+L278+O278</f>
        <v>53</v>
      </c>
      <c r="D278" s="83">
        <v>1</v>
      </c>
      <c r="E278" s="84"/>
      <c r="F278" s="32">
        <f>D278+E278</f>
        <v>1</v>
      </c>
      <c r="G278" s="83">
        <v>32</v>
      </c>
      <c r="H278" s="84"/>
      <c r="I278" s="32">
        <f>G278+H278</f>
        <v>32</v>
      </c>
      <c r="J278" s="83">
        <v>20</v>
      </c>
      <c r="K278" s="84"/>
      <c r="L278" s="32">
        <f>J278+K278</f>
        <v>20</v>
      </c>
      <c r="M278" s="83"/>
      <c r="N278" s="84"/>
      <c r="O278" s="32">
        <f>M278+N278</f>
        <v>0</v>
      </c>
      <c r="P278" s="32">
        <f>F278+I278+L278+O278</f>
        <v>53</v>
      </c>
      <c r="Q278" s="98"/>
      <c r="R278" s="98"/>
      <c r="IP278" s="100"/>
      <c r="IQ278" s="100"/>
      <c r="IR278" s="100"/>
      <c r="IS278" s="100"/>
      <c r="IT278" s="100"/>
    </row>
    <row r="279" spans="1:254" s="99" customFormat="1" ht="16.5" customHeight="1" hidden="1">
      <c r="A279" s="41"/>
      <c r="B279" s="46"/>
      <c r="C279" s="83"/>
      <c r="D279" s="83"/>
      <c r="E279" s="84"/>
      <c r="F279" s="32"/>
      <c r="G279" s="83"/>
      <c r="H279" s="84"/>
      <c r="I279" s="32"/>
      <c r="J279" s="83"/>
      <c r="K279" s="84"/>
      <c r="L279" s="32">
        <f>J279+K279</f>
        <v>0</v>
      </c>
      <c r="M279" s="83"/>
      <c r="N279" s="84"/>
      <c r="O279" s="32">
        <f>M279+N279</f>
        <v>0</v>
      </c>
      <c r="P279" s="32"/>
      <c r="Q279" s="98"/>
      <c r="R279" s="98"/>
      <c r="IP279" s="100"/>
      <c r="IQ279" s="100"/>
      <c r="IR279" s="100"/>
      <c r="IS279" s="100"/>
      <c r="IT279" s="100"/>
    </row>
    <row r="280" spans="1:254" s="99" customFormat="1" ht="16.5" customHeight="1" hidden="1">
      <c r="A280" s="42"/>
      <c r="B280" s="120"/>
      <c r="C280" s="116">
        <f aca="true" t="shared" si="74" ref="C280:O280">C281+C283</f>
        <v>332</v>
      </c>
      <c r="D280" s="116">
        <f t="shared" si="74"/>
        <v>6</v>
      </c>
      <c r="E280" s="117">
        <f t="shared" si="74"/>
        <v>0</v>
      </c>
      <c r="F280" s="116">
        <f t="shared" si="74"/>
        <v>6</v>
      </c>
      <c r="G280" s="116">
        <f t="shared" si="74"/>
        <v>200</v>
      </c>
      <c r="H280" s="117">
        <f>H281+H283+H282</f>
        <v>0</v>
      </c>
      <c r="I280" s="116">
        <f>I281+I283+I282</f>
        <v>200</v>
      </c>
      <c r="J280" s="116">
        <f t="shared" si="74"/>
        <v>126</v>
      </c>
      <c r="K280" s="117">
        <f>K281+K283+K282</f>
        <v>0</v>
      </c>
      <c r="L280" s="116">
        <f>L281+L283+L282</f>
        <v>126</v>
      </c>
      <c r="M280" s="116">
        <f t="shared" si="74"/>
        <v>0</v>
      </c>
      <c r="N280" s="117">
        <f t="shared" si="74"/>
        <v>0</v>
      </c>
      <c r="O280" s="116">
        <f t="shared" si="74"/>
        <v>0</v>
      </c>
      <c r="P280" s="116">
        <f>P281+P283+P282</f>
        <v>332</v>
      </c>
      <c r="Q280" s="98"/>
      <c r="R280" s="98"/>
      <c r="IP280" s="100"/>
      <c r="IQ280" s="100"/>
      <c r="IR280" s="100"/>
      <c r="IS280" s="100"/>
      <c r="IT280" s="100"/>
    </row>
    <row r="281" spans="1:254" s="99" customFormat="1" ht="16.5" customHeight="1" hidden="1">
      <c r="A281" s="41" t="s">
        <v>61</v>
      </c>
      <c r="B281" s="118" t="s">
        <v>67</v>
      </c>
      <c r="C281" s="83">
        <v>279</v>
      </c>
      <c r="D281" s="83">
        <f aca="true" t="shared" si="75" ref="D281:O281">D276</f>
        <v>5</v>
      </c>
      <c r="E281" s="83">
        <f t="shared" si="75"/>
        <v>0</v>
      </c>
      <c r="F281" s="83">
        <f t="shared" si="75"/>
        <v>5</v>
      </c>
      <c r="G281" s="83">
        <f t="shared" si="75"/>
        <v>168</v>
      </c>
      <c r="H281" s="83">
        <f t="shared" si="75"/>
        <v>-173</v>
      </c>
      <c r="I281" s="83">
        <f t="shared" si="75"/>
        <v>-5</v>
      </c>
      <c r="J281" s="83">
        <f t="shared" si="75"/>
        <v>106</v>
      </c>
      <c r="K281" s="83">
        <v>-106</v>
      </c>
      <c r="L281" s="83">
        <v>0</v>
      </c>
      <c r="M281" s="83">
        <f t="shared" si="75"/>
        <v>0</v>
      </c>
      <c r="N281" s="83">
        <f t="shared" si="75"/>
        <v>0</v>
      </c>
      <c r="O281" s="83">
        <f t="shared" si="75"/>
        <v>0</v>
      </c>
      <c r="P281" s="83">
        <f>F281+I281+L281</f>
        <v>0</v>
      </c>
      <c r="Q281" s="98"/>
      <c r="R281" s="98"/>
      <c r="IP281" s="100"/>
      <c r="IQ281" s="100"/>
      <c r="IR281" s="100"/>
      <c r="IS281" s="100"/>
      <c r="IT281" s="100"/>
    </row>
    <row r="282" spans="1:254" s="99" customFormat="1" ht="16.5" customHeight="1" hidden="1">
      <c r="A282" s="41" t="s">
        <v>62</v>
      </c>
      <c r="B282" s="118" t="s">
        <v>81</v>
      </c>
      <c r="C282" s="83"/>
      <c r="D282" s="83"/>
      <c r="E282" s="83"/>
      <c r="F282" s="83"/>
      <c r="G282" s="83"/>
      <c r="H282" s="83">
        <v>173</v>
      </c>
      <c r="I282" s="83">
        <v>173</v>
      </c>
      <c r="J282" s="83">
        <v>0</v>
      </c>
      <c r="K282" s="83">
        <v>106</v>
      </c>
      <c r="L282" s="83">
        <v>106</v>
      </c>
      <c r="M282" s="83"/>
      <c r="N282" s="83"/>
      <c r="O282" s="83"/>
      <c r="P282" s="83">
        <f>F282+I282+L282</f>
        <v>279</v>
      </c>
      <c r="Q282" s="98"/>
      <c r="R282" s="98"/>
      <c r="IP282" s="100"/>
      <c r="IQ282" s="100"/>
      <c r="IR282" s="100"/>
      <c r="IS282" s="100"/>
      <c r="IT282" s="100"/>
    </row>
    <row r="283" spans="1:254" s="99" customFormat="1" ht="16.5" customHeight="1" hidden="1">
      <c r="A283" s="41" t="s">
        <v>63</v>
      </c>
      <c r="B283" s="118" t="s">
        <v>68</v>
      </c>
      <c r="C283" s="83">
        <f>F283+I283+L283+O283</f>
        <v>53</v>
      </c>
      <c r="D283" s="83">
        <f aca="true" t="shared" si="76" ref="D283:P283">D278</f>
        <v>1</v>
      </c>
      <c r="E283" s="83">
        <f t="shared" si="76"/>
        <v>0</v>
      </c>
      <c r="F283" s="83">
        <f t="shared" si="76"/>
        <v>1</v>
      </c>
      <c r="G283" s="83">
        <f t="shared" si="76"/>
        <v>32</v>
      </c>
      <c r="H283" s="83">
        <f t="shared" si="76"/>
        <v>0</v>
      </c>
      <c r="I283" s="83">
        <f t="shared" si="76"/>
        <v>32</v>
      </c>
      <c r="J283" s="83">
        <f t="shared" si="76"/>
        <v>20</v>
      </c>
      <c r="K283" s="83">
        <f t="shared" si="76"/>
        <v>0</v>
      </c>
      <c r="L283" s="83">
        <f t="shared" si="76"/>
        <v>20</v>
      </c>
      <c r="M283" s="83">
        <f t="shared" si="76"/>
        <v>0</v>
      </c>
      <c r="N283" s="83">
        <f t="shared" si="76"/>
        <v>0</v>
      </c>
      <c r="O283" s="83">
        <f t="shared" si="76"/>
        <v>0</v>
      </c>
      <c r="P283" s="83">
        <f t="shared" si="76"/>
        <v>53</v>
      </c>
      <c r="Q283" s="98"/>
      <c r="R283" s="98"/>
      <c r="IP283" s="100"/>
      <c r="IQ283" s="100"/>
      <c r="IR283" s="100"/>
      <c r="IS283" s="100"/>
      <c r="IT283" s="100"/>
    </row>
    <row r="284" spans="1:254" s="93" customFormat="1" ht="18.75" customHeight="1">
      <c r="A284" s="177" t="s">
        <v>82</v>
      </c>
      <c r="B284" s="177"/>
      <c r="C284" s="32">
        <f aca="true" t="shared" si="77" ref="C284:P284">C27+C37+C47+C57+C67+C77+C87+C97+C108+C119+C129+C139+C18+C9+C167+C149+C158+C194+C212+C221+C266+C257+C248+C185+C230+C239+C275+C203+C176</f>
        <v>119472</v>
      </c>
      <c r="D284" s="32">
        <f t="shared" si="77"/>
        <v>15060</v>
      </c>
      <c r="E284" s="32">
        <f t="shared" si="77"/>
        <v>0</v>
      </c>
      <c r="F284" s="32">
        <f t="shared" si="77"/>
        <v>15060</v>
      </c>
      <c r="G284" s="32">
        <f t="shared" si="77"/>
        <v>64460</v>
      </c>
      <c r="H284" s="32">
        <f t="shared" si="77"/>
        <v>0</v>
      </c>
      <c r="I284" s="32">
        <f t="shared" si="77"/>
        <v>64275</v>
      </c>
      <c r="J284" s="32">
        <f t="shared" si="77"/>
        <v>23039</v>
      </c>
      <c r="K284" s="32">
        <f t="shared" si="77"/>
        <v>0</v>
      </c>
      <c r="L284" s="32">
        <f t="shared" si="77"/>
        <v>22905</v>
      </c>
      <c r="M284" s="32">
        <f t="shared" si="77"/>
        <v>16913</v>
      </c>
      <c r="N284" s="32">
        <f t="shared" si="77"/>
        <v>0</v>
      </c>
      <c r="O284" s="32">
        <f t="shared" si="77"/>
        <v>16913</v>
      </c>
      <c r="P284" s="32">
        <f t="shared" si="77"/>
        <v>119472</v>
      </c>
      <c r="Q284" s="92"/>
      <c r="R284" s="92"/>
      <c r="IP284" s="94"/>
      <c r="IQ284" s="94"/>
      <c r="IR284" s="94"/>
      <c r="IS284" s="94"/>
      <c r="IT284" s="94"/>
    </row>
    <row r="285" spans="1:254" s="80" customFormat="1" ht="16.5" customHeight="1">
      <c r="A285" s="178" t="s">
        <v>83</v>
      </c>
      <c r="B285" s="178"/>
      <c r="C285" s="178"/>
      <c r="D285" s="123"/>
      <c r="E285" s="124"/>
      <c r="F285" s="32">
        <f aca="true" t="shared" si="78" ref="F285:F313">D285+E285</f>
        <v>0</v>
      </c>
      <c r="G285" s="123"/>
      <c r="H285" s="124"/>
      <c r="I285" s="32">
        <f aca="true" t="shared" si="79" ref="I285:I313">G285+H285</f>
        <v>0</v>
      </c>
      <c r="J285" s="116"/>
      <c r="K285" s="117"/>
      <c r="L285" s="32">
        <f aca="true" t="shared" si="80" ref="L285:L313">J285+K285</f>
        <v>0</v>
      </c>
      <c r="M285" s="116"/>
      <c r="N285" s="117"/>
      <c r="O285" s="32">
        <f aca="true" t="shared" si="81" ref="O285:O313">M285+N285</f>
        <v>0</v>
      </c>
      <c r="P285" s="32">
        <f aca="true" t="shared" si="82" ref="P285:P313">F285+I285+L285+O285</f>
        <v>0</v>
      </c>
      <c r="Q285" s="89"/>
      <c r="R285" s="89"/>
      <c r="IP285" s="81"/>
      <c r="IQ285" s="81"/>
      <c r="IR285" s="81"/>
      <c r="IS285" s="81"/>
      <c r="IT285" s="81"/>
    </row>
    <row r="286" spans="1:254" s="80" customFormat="1" ht="45.75" customHeight="1">
      <c r="A286" s="78" t="s">
        <v>84</v>
      </c>
      <c r="B286" s="78" t="s">
        <v>85</v>
      </c>
      <c r="C286" s="44">
        <f>C287+C288+C289</f>
        <v>17199</v>
      </c>
      <c r="D286" s="32">
        <f>D287+D288+D289</f>
        <v>2814</v>
      </c>
      <c r="E286" s="33"/>
      <c r="F286" s="32">
        <f t="shared" si="78"/>
        <v>2814</v>
      </c>
      <c r="G286" s="32">
        <f>G287+G288+G289</f>
        <v>4794</v>
      </c>
      <c r="H286" s="33"/>
      <c r="I286" s="32">
        <f t="shared" si="79"/>
        <v>4794</v>
      </c>
      <c r="J286" s="32">
        <f>J287+J288+J289</f>
        <v>4794</v>
      </c>
      <c r="K286" s="33"/>
      <c r="L286" s="32">
        <f t="shared" si="80"/>
        <v>4794</v>
      </c>
      <c r="M286" s="44">
        <f>M287+M288+M289</f>
        <v>4797</v>
      </c>
      <c r="N286" s="45"/>
      <c r="O286" s="32">
        <f t="shared" si="81"/>
        <v>4797</v>
      </c>
      <c r="P286" s="32">
        <f t="shared" si="82"/>
        <v>17199</v>
      </c>
      <c r="Q286" s="89"/>
      <c r="R286" s="89"/>
      <c r="IP286" s="81"/>
      <c r="IQ286" s="81"/>
      <c r="IR286" s="81"/>
      <c r="IS286" s="81"/>
      <c r="IT286" s="81"/>
    </row>
    <row r="287" spans="1:254" s="80" customFormat="1" ht="16.5" customHeight="1">
      <c r="A287" s="46" t="s">
        <v>34</v>
      </c>
      <c r="B287" s="47"/>
      <c r="C287" s="48">
        <f>D287+G287+J287+M287</f>
        <v>1088</v>
      </c>
      <c r="D287" s="36">
        <v>272</v>
      </c>
      <c r="E287" s="37"/>
      <c r="F287" s="32">
        <f t="shared" si="78"/>
        <v>272</v>
      </c>
      <c r="G287" s="36">
        <v>272</v>
      </c>
      <c r="H287" s="37"/>
      <c r="I287" s="32">
        <f t="shared" si="79"/>
        <v>272</v>
      </c>
      <c r="J287" s="36">
        <v>272</v>
      </c>
      <c r="K287" s="37"/>
      <c r="L287" s="32">
        <f t="shared" si="80"/>
        <v>272</v>
      </c>
      <c r="M287" s="48">
        <v>272</v>
      </c>
      <c r="N287" s="56"/>
      <c r="O287" s="32">
        <f t="shared" si="81"/>
        <v>272</v>
      </c>
      <c r="P287" s="32">
        <f t="shared" si="82"/>
        <v>1088</v>
      </c>
      <c r="Q287" s="89"/>
      <c r="R287" s="89"/>
      <c r="IP287" s="81"/>
      <c r="IQ287" s="81"/>
      <c r="IR287" s="81"/>
      <c r="IS287" s="81"/>
      <c r="IT287" s="81"/>
    </row>
    <row r="288" spans="1:254" s="80" customFormat="1" ht="16.5" customHeight="1">
      <c r="A288" s="41" t="s">
        <v>35</v>
      </c>
      <c r="B288" s="49"/>
      <c r="C288" s="48">
        <f>D288+G288+J288+M288</f>
        <v>6168</v>
      </c>
      <c r="D288" s="36">
        <v>1542</v>
      </c>
      <c r="E288" s="37"/>
      <c r="F288" s="32">
        <f t="shared" si="78"/>
        <v>1542</v>
      </c>
      <c r="G288" s="36">
        <v>1542</v>
      </c>
      <c r="H288" s="37"/>
      <c r="I288" s="32">
        <f t="shared" si="79"/>
        <v>1542</v>
      </c>
      <c r="J288" s="36">
        <v>1542</v>
      </c>
      <c r="K288" s="37"/>
      <c r="L288" s="32">
        <f t="shared" si="80"/>
        <v>1542</v>
      </c>
      <c r="M288" s="48">
        <v>1542</v>
      </c>
      <c r="N288" s="56"/>
      <c r="O288" s="32">
        <f t="shared" si="81"/>
        <v>1542</v>
      </c>
      <c r="P288" s="32">
        <f t="shared" si="82"/>
        <v>6168</v>
      </c>
      <c r="Q288" s="89"/>
      <c r="R288" s="89"/>
      <c r="IP288" s="81"/>
      <c r="IQ288" s="81"/>
      <c r="IR288" s="81"/>
      <c r="IS288" s="81"/>
      <c r="IT288" s="81"/>
    </row>
    <row r="289" spans="1:254" s="80" customFormat="1" ht="16.5" customHeight="1">
      <c r="A289" s="41" t="s">
        <v>36</v>
      </c>
      <c r="B289" s="50"/>
      <c r="C289" s="48">
        <f>D289+G289+J289+M289</f>
        <v>9943</v>
      </c>
      <c r="D289" s="36">
        <v>1000</v>
      </c>
      <c r="E289" s="37"/>
      <c r="F289" s="32">
        <f t="shared" si="78"/>
        <v>1000</v>
      </c>
      <c r="G289" s="36">
        <v>2980</v>
      </c>
      <c r="H289" s="37"/>
      <c r="I289" s="32">
        <f t="shared" si="79"/>
        <v>2980</v>
      </c>
      <c r="J289" s="36">
        <v>2980</v>
      </c>
      <c r="K289" s="37"/>
      <c r="L289" s="32">
        <f t="shared" si="80"/>
        <v>2980</v>
      </c>
      <c r="M289" s="48">
        <v>2983</v>
      </c>
      <c r="N289" s="56"/>
      <c r="O289" s="32">
        <f t="shared" si="81"/>
        <v>2983</v>
      </c>
      <c r="P289" s="32">
        <f t="shared" si="82"/>
        <v>9943</v>
      </c>
      <c r="Q289" s="89"/>
      <c r="R289" s="89"/>
      <c r="IP289" s="81"/>
      <c r="IQ289" s="81"/>
      <c r="IR289" s="81"/>
      <c r="IS289" s="81"/>
      <c r="IT289" s="81"/>
    </row>
    <row r="290" spans="1:254" s="80" customFormat="1" ht="16.5" customHeight="1" hidden="1">
      <c r="A290" s="41"/>
      <c r="B290" s="78"/>
      <c r="C290" s="48"/>
      <c r="D290" s="36"/>
      <c r="E290" s="37"/>
      <c r="F290" s="32">
        <f t="shared" si="78"/>
        <v>0</v>
      </c>
      <c r="G290" s="36"/>
      <c r="H290" s="37"/>
      <c r="I290" s="32">
        <f t="shared" si="79"/>
        <v>0</v>
      </c>
      <c r="J290" s="48"/>
      <c r="K290" s="56"/>
      <c r="L290" s="32">
        <f t="shared" si="80"/>
        <v>0</v>
      </c>
      <c r="M290" s="48"/>
      <c r="N290" s="56"/>
      <c r="O290" s="32">
        <f t="shared" si="81"/>
        <v>0</v>
      </c>
      <c r="P290" s="32">
        <f t="shared" si="82"/>
        <v>0</v>
      </c>
      <c r="Q290" s="89"/>
      <c r="R290" s="89"/>
      <c r="IP290" s="81"/>
      <c r="IQ290" s="81"/>
      <c r="IR290" s="81"/>
      <c r="IS290" s="81"/>
      <c r="IT290" s="81"/>
    </row>
    <row r="291" spans="1:254" s="80" customFormat="1" ht="16.5" customHeight="1" hidden="1">
      <c r="A291" s="42"/>
      <c r="B291" s="78"/>
      <c r="C291" s="44">
        <f aca="true" t="shared" si="83" ref="C291:C299">D291+G291+J291+M291</f>
        <v>17199</v>
      </c>
      <c r="D291" s="32">
        <f>D292+D293+D294+D295</f>
        <v>2814</v>
      </c>
      <c r="E291" s="33"/>
      <c r="F291" s="32">
        <f t="shared" si="78"/>
        <v>2814</v>
      </c>
      <c r="G291" s="32">
        <f>G292+G293+G294+G295</f>
        <v>4794</v>
      </c>
      <c r="H291" s="33"/>
      <c r="I291" s="32">
        <f t="shared" si="79"/>
        <v>4794</v>
      </c>
      <c r="J291" s="44">
        <f>J292+J293+J294+J295</f>
        <v>4794</v>
      </c>
      <c r="K291" s="45"/>
      <c r="L291" s="32">
        <f t="shared" si="80"/>
        <v>4794</v>
      </c>
      <c r="M291" s="44">
        <f>M292+M293+M294+M295</f>
        <v>4797</v>
      </c>
      <c r="N291" s="45"/>
      <c r="O291" s="32">
        <f t="shared" si="81"/>
        <v>4797</v>
      </c>
      <c r="P291" s="32">
        <f t="shared" si="82"/>
        <v>17199</v>
      </c>
      <c r="Q291" s="89"/>
      <c r="R291" s="89"/>
      <c r="IP291" s="81"/>
      <c r="IQ291" s="81"/>
      <c r="IR291" s="81"/>
      <c r="IS291" s="81"/>
      <c r="IT291" s="81"/>
    </row>
    <row r="292" spans="1:254" s="80" customFormat="1" ht="16.5" customHeight="1" hidden="1">
      <c r="A292" s="41" t="s">
        <v>37</v>
      </c>
      <c r="B292" s="78"/>
      <c r="C292" s="48">
        <f t="shared" si="83"/>
        <v>1254</v>
      </c>
      <c r="D292" s="36">
        <v>236</v>
      </c>
      <c r="E292" s="37"/>
      <c r="F292" s="32">
        <f t="shared" si="78"/>
        <v>236</v>
      </c>
      <c r="G292" s="36">
        <v>546</v>
      </c>
      <c r="H292" s="37"/>
      <c r="I292" s="32">
        <f t="shared" si="79"/>
        <v>546</v>
      </c>
      <c r="J292" s="36">
        <v>236</v>
      </c>
      <c r="K292" s="37"/>
      <c r="L292" s="32">
        <f t="shared" si="80"/>
        <v>236</v>
      </c>
      <c r="M292" s="36">
        <v>236</v>
      </c>
      <c r="N292" s="37"/>
      <c r="O292" s="32">
        <f t="shared" si="81"/>
        <v>236</v>
      </c>
      <c r="P292" s="32">
        <f t="shared" si="82"/>
        <v>1254</v>
      </c>
      <c r="Q292" s="89"/>
      <c r="R292" s="89"/>
      <c r="IP292" s="81"/>
      <c r="IQ292" s="81"/>
      <c r="IR292" s="81"/>
      <c r="IS292" s="81"/>
      <c r="IT292" s="81"/>
    </row>
    <row r="293" spans="1:254" s="80" customFormat="1" ht="16.5" customHeight="1" hidden="1">
      <c r="A293" s="41" t="s">
        <v>38</v>
      </c>
      <c r="B293" s="78"/>
      <c r="C293" s="48">
        <f t="shared" si="83"/>
        <v>4626</v>
      </c>
      <c r="D293" s="36">
        <v>1542</v>
      </c>
      <c r="E293" s="37"/>
      <c r="F293" s="32">
        <f t="shared" si="78"/>
        <v>1542</v>
      </c>
      <c r="G293" s="36">
        <v>0</v>
      </c>
      <c r="H293" s="37"/>
      <c r="I293" s="32">
        <f t="shared" si="79"/>
        <v>0</v>
      </c>
      <c r="J293" s="36">
        <v>1542</v>
      </c>
      <c r="K293" s="37"/>
      <c r="L293" s="32">
        <f t="shared" si="80"/>
        <v>1542</v>
      </c>
      <c r="M293" s="36">
        <v>1542</v>
      </c>
      <c r="N293" s="37"/>
      <c r="O293" s="32">
        <f t="shared" si="81"/>
        <v>1542</v>
      </c>
      <c r="P293" s="32">
        <f t="shared" si="82"/>
        <v>4626</v>
      </c>
      <c r="Q293" s="89"/>
      <c r="R293" s="89"/>
      <c r="IP293" s="81"/>
      <c r="IQ293" s="81"/>
      <c r="IR293" s="81"/>
      <c r="IS293" s="81"/>
      <c r="IT293" s="81"/>
    </row>
    <row r="294" spans="1:254" s="80" customFormat="1" ht="16.5" customHeight="1" hidden="1">
      <c r="A294" s="41" t="s">
        <v>39</v>
      </c>
      <c r="B294" s="78"/>
      <c r="C294" s="48">
        <f t="shared" si="83"/>
        <v>3568</v>
      </c>
      <c r="D294" s="36">
        <v>0</v>
      </c>
      <c r="E294" s="37"/>
      <c r="F294" s="32">
        <f t="shared" si="78"/>
        <v>0</v>
      </c>
      <c r="G294" s="36">
        <v>3568</v>
      </c>
      <c r="H294" s="37"/>
      <c r="I294" s="32">
        <f t="shared" si="79"/>
        <v>3568</v>
      </c>
      <c r="J294" s="36">
        <v>0</v>
      </c>
      <c r="K294" s="37"/>
      <c r="L294" s="32">
        <f t="shared" si="80"/>
        <v>0</v>
      </c>
      <c r="M294" s="38">
        <v>0</v>
      </c>
      <c r="N294" s="39"/>
      <c r="O294" s="32">
        <f t="shared" si="81"/>
        <v>0</v>
      </c>
      <c r="P294" s="32">
        <f t="shared" si="82"/>
        <v>3568</v>
      </c>
      <c r="Q294" s="89"/>
      <c r="R294" s="89"/>
      <c r="IP294" s="81"/>
      <c r="IQ294" s="81"/>
      <c r="IR294" s="81"/>
      <c r="IS294" s="81"/>
      <c r="IT294" s="81"/>
    </row>
    <row r="295" spans="1:254" s="80" customFormat="1" ht="30.75" customHeight="1" hidden="1">
      <c r="A295" s="52" t="s">
        <v>40</v>
      </c>
      <c r="B295" s="78"/>
      <c r="C295" s="48">
        <f t="shared" si="83"/>
        <v>7751</v>
      </c>
      <c r="D295" s="48">
        <v>1036</v>
      </c>
      <c r="E295" s="56"/>
      <c r="F295" s="32">
        <f t="shared" si="78"/>
        <v>1036</v>
      </c>
      <c r="G295" s="48">
        <v>680</v>
      </c>
      <c r="H295" s="56"/>
      <c r="I295" s="32">
        <f t="shared" si="79"/>
        <v>680</v>
      </c>
      <c r="J295" s="48">
        <v>3016</v>
      </c>
      <c r="K295" s="56"/>
      <c r="L295" s="32">
        <f t="shared" si="80"/>
        <v>3016</v>
      </c>
      <c r="M295" s="48">
        <v>3019</v>
      </c>
      <c r="N295" s="56"/>
      <c r="O295" s="32">
        <f t="shared" si="81"/>
        <v>3019</v>
      </c>
      <c r="P295" s="32">
        <f t="shared" si="82"/>
        <v>7751</v>
      </c>
      <c r="Q295" s="89"/>
      <c r="R295" s="89"/>
      <c r="IP295" s="81"/>
      <c r="IQ295" s="81"/>
      <c r="IR295" s="81"/>
      <c r="IS295" s="81"/>
      <c r="IT295" s="81"/>
    </row>
    <row r="296" spans="1:254" s="80" customFormat="1" ht="45">
      <c r="A296" s="78" t="s">
        <v>84</v>
      </c>
      <c r="B296" s="25" t="s">
        <v>86</v>
      </c>
      <c r="C296" s="44">
        <f t="shared" si="83"/>
        <v>1826</v>
      </c>
      <c r="D296" s="44">
        <f>SUM(D297:D299)</f>
        <v>1826</v>
      </c>
      <c r="E296" s="45"/>
      <c r="F296" s="32">
        <f t="shared" si="78"/>
        <v>1826</v>
      </c>
      <c r="G296" s="44">
        <f>SUM(G297:G299)</f>
        <v>0</v>
      </c>
      <c r="H296" s="45"/>
      <c r="I296" s="32">
        <f t="shared" si="79"/>
        <v>0</v>
      </c>
      <c r="J296" s="44">
        <f>SUM(J297:J299)</f>
        <v>0</v>
      </c>
      <c r="K296" s="45"/>
      <c r="L296" s="32">
        <f t="shared" si="80"/>
        <v>0</v>
      </c>
      <c r="M296" s="44">
        <f>M297+M298+M299</f>
        <v>0</v>
      </c>
      <c r="N296" s="45"/>
      <c r="O296" s="32">
        <f t="shared" si="81"/>
        <v>0</v>
      </c>
      <c r="P296" s="32">
        <f t="shared" si="82"/>
        <v>1826</v>
      </c>
      <c r="Q296" s="89"/>
      <c r="R296" s="89"/>
      <c r="IP296" s="81"/>
      <c r="IQ296" s="81"/>
      <c r="IR296" s="81"/>
      <c r="IS296" s="81"/>
      <c r="IT296" s="81"/>
    </row>
    <row r="297" spans="1:254" s="80" customFormat="1" ht="16.5" customHeight="1">
      <c r="A297" s="46" t="s">
        <v>34</v>
      </c>
      <c r="B297" s="82"/>
      <c r="C297" s="83">
        <f t="shared" si="83"/>
        <v>496</v>
      </c>
      <c r="D297" s="83">
        <v>496</v>
      </c>
      <c r="E297" s="84"/>
      <c r="F297" s="32">
        <f t="shared" si="78"/>
        <v>496</v>
      </c>
      <c r="G297" s="36">
        <v>0</v>
      </c>
      <c r="H297" s="37"/>
      <c r="I297" s="32">
        <f t="shared" si="79"/>
        <v>0</v>
      </c>
      <c r="J297" s="36">
        <v>0</v>
      </c>
      <c r="K297" s="37"/>
      <c r="L297" s="32">
        <f t="shared" si="80"/>
        <v>0</v>
      </c>
      <c r="M297" s="36">
        <v>0</v>
      </c>
      <c r="N297" s="37"/>
      <c r="O297" s="32">
        <f t="shared" si="81"/>
        <v>0</v>
      </c>
      <c r="P297" s="32">
        <f t="shared" si="82"/>
        <v>496</v>
      </c>
      <c r="Q297" s="89"/>
      <c r="R297" s="89"/>
      <c r="IP297" s="81"/>
      <c r="IQ297" s="81"/>
      <c r="IR297" s="81"/>
      <c r="IS297" s="81"/>
      <c r="IT297" s="81"/>
    </row>
    <row r="298" spans="1:254" s="80" customFormat="1" ht="16.5" customHeight="1">
      <c r="A298" s="41" t="s">
        <v>35</v>
      </c>
      <c r="B298" s="86"/>
      <c r="C298" s="83">
        <f t="shared" si="83"/>
        <v>1156</v>
      </c>
      <c r="D298" s="83">
        <v>1156</v>
      </c>
      <c r="E298" s="84"/>
      <c r="F298" s="32">
        <f t="shared" si="78"/>
        <v>1156</v>
      </c>
      <c r="G298" s="36">
        <v>0</v>
      </c>
      <c r="H298" s="37"/>
      <c r="I298" s="32">
        <f t="shared" si="79"/>
        <v>0</v>
      </c>
      <c r="J298" s="36">
        <v>0</v>
      </c>
      <c r="K298" s="37"/>
      <c r="L298" s="32">
        <f t="shared" si="80"/>
        <v>0</v>
      </c>
      <c r="M298" s="36">
        <v>0</v>
      </c>
      <c r="N298" s="37"/>
      <c r="O298" s="32">
        <f t="shared" si="81"/>
        <v>0</v>
      </c>
      <c r="P298" s="32">
        <f t="shared" si="82"/>
        <v>1156</v>
      </c>
      <c r="Q298" s="89"/>
      <c r="R298" s="89"/>
      <c r="IP298" s="81"/>
      <c r="IQ298" s="81"/>
      <c r="IR298" s="81"/>
      <c r="IS298" s="81"/>
      <c r="IT298" s="81"/>
    </row>
    <row r="299" spans="1:254" s="80" customFormat="1" ht="15.75" customHeight="1">
      <c r="A299" s="41" t="s">
        <v>36</v>
      </c>
      <c r="B299" s="87"/>
      <c r="C299" s="83">
        <f t="shared" si="83"/>
        <v>174</v>
      </c>
      <c r="D299" s="83">
        <v>174</v>
      </c>
      <c r="E299" s="84"/>
      <c r="F299" s="32">
        <f t="shared" si="78"/>
        <v>174</v>
      </c>
      <c r="G299" s="36">
        <v>0</v>
      </c>
      <c r="H299" s="37"/>
      <c r="I299" s="32">
        <f t="shared" si="79"/>
        <v>0</v>
      </c>
      <c r="J299" s="36">
        <v>0</v>
      </c>
      <c r="K299" s="37"/>
      <c r="L299" s="32">
        <f t="shared" si="80"/>
        <v>0</v>
      </c>
      <c r="M299" s="36">
        <v>0</v>
      </c>
      <c r="N299" s="37"/>
      <c r="O299" s="32">
        <f t="shared" si="81"/>
        <v>0</v>
      </c>
      <c r="P299" s="32">
        <f t="shared" si="82"/>
        <v>174</v>
      </c>
      <c r="Q299" s="89"/>
      <c r="R299" s="89"/>
      <c r="IP299" s="81"/>
      <c r="IQ299" s="81"/>
      <c r="IR299" s="81"/>
      <c r="IS299" s="81"/>
      <c r="IT299" s="81"/>
    </row>
    <row r="300" spans="1:254" s="80" customFormat="1" ht="18" customHeight="1" hidden="1">
      <c r="A300" s="41"/>
      <c r="B300" s="88"/>
      <c r="C300" s="83"/>
      <c r="D300" s="83"/>
      <c r="E300" s="84"/>
      <c r="F300" s="32">
        <f t="shared" si="78"/>
        <v>0</v>
      </c>
      <c r="G300" s="83"/>
      <c r="H300" s="84"/>
      <c r="I300" s="32">
        <f t="shared" si="79"/>
        <v>0</v>
      </c>
      <c r="J300" s="83"/>
      <c r="K300" s="84"/>
      <c r="L300" s="32">
        <f t="shared" si="80"/>
        <v>0</v>
      </c>
      <c r="M300" s="83"/>
      <c r="N300" s="84"/>
      <c r="O300" s="32">
        <f t="shared" si="81"/>
        <v>0</v>
      </c>
      <c r="P300" s="32">
        <f t="shared" si="82"/>
        <v>0</v>
      </c>
      <c r="Q300" s="89"/>
      <c r="R300" s="89"/>
      <c r="IP300" s="81"/>
      <c r="IQ300" s="81"/>
      <c r="IR300" s="81"/>
      <c r="IS300" s="81"/>
      <c r="IT300" s="81"/>
    </row>
    <row r="301" spans="1:254" s="93" customFormat="1" ht="20.25" customHeight="1" hidden="1">
      <c r="A301" s="42"/>
      <c r="B301" s="31"/>
      <c r="C301" s="116">
        <f>C302+C303+C304+C305</f>
        <v>5932</v>
      </c>
      <c r="D301" s="116">
        <f>D302+D303+D304+D305</f>
        <v>5931.96</v>
      </c>
      <c r="E301" s="117"/>
      <c r="F301" s="32">
        <f t="shared" si="78"/>
        <v>5931.96</v>
      </c>
      <c r="G301" s="116">
        <f>G302+G303+G304+G305</f>
        <v>0</v>
      </c>
      <c r="H301" s="117"/>
      <c r="I301" s="32">
        <f t="shared" si="79"/>
        <v>0</v>
      </c>
      <c r="J301" s="116">
        <f>J302+J303+J304+J305</f>
        <v>0</v>
      </c>
      <c r="K301" s="117"/>
      <c r="L301" s="32">
        <f t="shared" si="80"/>
        <v>0</v>
      </c>
      <c r="M301" s="116">
        <f>M302+M303+M304+M305</f>
        <v>0</v>
      </c>
      <c r="N301" s="117"/>
      <c r="O301" s="32">
        <f t="shared" si="81"/>
        <v>0</v>
      </c>
      <c r="P301" s="32">
        <f t="shared" si="82"/>
        <v>5931.96</v>
      </c>
      <c r="Q301" s="92"/>
      <c r="R301" s="92"/>
      <c r="IP301" s="94"/>
      <c r="IQ301" s="94"/>
      <c r="IR301" s="94"/>
      <c r="IS301" s="94"/>
      <c r="IT301" s="94"/>
    </row>
    <row r="302" spans="1:254" s="80" customFormat="1" ht="18.75" customHeight="1" hidden="1">
      <c r="A302" s="41" t="s">
        <v>37</v>
      </c>
      <c r="B302" s="88"/>
      <c r="C302" s="83">
        <v>139</v>
      </c>
      <c r="D302" s="83">
        <f>D297*0.28</f>
        <v>138.88000000000002</v>
      </c>
      <c r="E302" s="84"/>
      <c r="F302" s="32">
        <f t="shared" si="78"/>
        <v>138.88000000000002</v>
      </c>
      <c r="G302" s="36">
        <v>0</v>
      </c>
      <c r="H302" s="37"/>
      <c r="I302" s="32">
        <f t="shared" si="79"/>
        <v>0</v>
      </c>
      <c r="J302" s="36">
        <v>0</v>
      </c>
      <c r="K302" s="37"/>
      <c r="L302" s="32">
        <f t="shared" si="80"/>
        <v>0</v>
      </c>
      <c r="M302" s="36">
        <v>0</v>
      </c>
      <c r="N302" s="37"/>
      <c r="O302" s="32">
        <f t="shared" si="81"/>
        <v>0</v>
      </c>
      <c r="P302" s="32">
        <f t="shared" si="82"/>
        <v>138.88000000000002</v>
      </c>
      <c r="Q302" s="89"/>
      <c r="R302" s="89"/>
      <c r="IP302" s="81"/>
      <c r="IQ302" s="81"/>
      <c r="IR302" s="81"/>
      <c r="IS302" s="81"/>
      <c r="IT302" s="81"/>
    </row>
    <row r="303" spans="1:254" s="80" customFormat="1" ht="15" customHeight="1" hidden="1">
      <c r="A303" s="41" t="s">
        <v>38</v>
      </c>
      <c r="B303" s="88"/>
      <c r="C303" s="83">
        <v>1156</v>
      </c>
      <c r="D303" s="83">
        <f>D298</f>
        <v>1156</v>
      </c>
      <c r="E303" s="84"/>
      <c r="F303" s="32">
        <f t="shared" si="78"/>
        <v>1156</v>
      </c>
      <c r="G303" s="36">
        <v>0</v>
      </c>
      <c r="H303" s="37"/>
      <c r="I303" s="32">
        <f t="shared" si="79"/>
        <v>0</v>
      </c>
      <c r="J303" s="36">
        <v>0</v>
      </c>
      <c r="K303" s="37"/>
      <c r="L303" s="32">
        <f t="shared" si="80"/>
        <v>0</v>
      </c>
      <c r="M303" s="36">
        <v>0</v>
      </c>
      <c r="N303" s="37"/>
      <c r="O303" s="32">
        <f t="shared" si="81"/>
        <v>0</v>
      </c>
      <c r="P303" s="32">
        <f t="shared" si="82"/>
        <v>1156</v>
      </c>
      <c r="Q303" s="89"/>
      <c r="R303" s="89"/>
      <c r="IP303" s="81"/>
      <c r="IQ303" s="81"/>
      <c r="IR303" s="81"/>
      <c r="IS303" s="81"/>
      <c r="IT303" s="81"/>
    </row>
    <row r="304" spans="1:254" s="80" customFormat="1" ht="17.25" customHeight="1" hidden="1">
      <c r="A304" s="41" t="s">
        <v>39</v>
      </c>
      <c r="B304" s="88"/>
      <c r="C304" s="83">
        <v>4604</v>
      </c>
      <c r="D304" s="83">
        <f>4698*0.98</f>
        <v>4604.04</v>
      </c>
      <c r="E304" s="84"/>
      <c r="F304" s="32">
        <f t="shared" si="78"/>
        <v>4604.04</v>
      </c>
      <c r="G304" s="36">
        <v>0</v>
      </c>
      <c r="H304" s="37"/>
      <c r="I304" s="32">
        <f t="shared" si="79"/>
        <v>0</v>
      </c>
      <c r="J304" s="36">
        <v>0</v>
      </c>
      <c r="K304" s="37"/>
      <c r="L304" s="32">
        <f t="shared" si="80"/>
        <v>0</v>
      </c>
      <c r="M304" s="36">
        <v>0</v>
      </c>
      <c r="N304" s="37"/>
      <c r="O304" s="32">
        <f t="shared" si="81"/>
        <v>0</v>
      </c>
      <c r="P304" s="32">
        <f t="shared" si="82"/>
        <v>4604.04</v>
      </c>
      <c r="Q304" s="89"/>
      <c r="R304" s="89"/>
      <c r="IP304" s="81"/>
      <c r="IQ304" s="81"/>
      <c r="IR304" s="81"/>
      <c r="IS304" s="81"/>
      <c r="IT304" s="81"/>
    </row>
    <row r="305" spans="1:254" s="99" customFormat="1" ht="30" hidden="1">
      <c r="A305" s="52" t="s">
        <v>40</v>
      </c>
      <c r="B305" s="97"/>
      <c r="C305" s="83">
        <v>33</v>
      </c>
      <c r="D305" s="83">
        <f>(D297+D298)*0.02</f>
        <v>33.04</v>
      </c>
      <c r="E305" s="84"/>
      <c r="F305" s="32">
        <f t="shared" si="78"/>
        <v>33.04</v>
      </c>
      <c r="G305" s="83">
        <v>0</v>
      </c>
      <c r="H305" s="84"/>
      <c r="I305" s="32">
        <f t="shared" si="79"/>
        <v>0</v>
      </c>
      <c r="J305" s="83">
        <v>0</v>
      </c>
      <c r="K305" s="84"/>
      <c r="L305" s="32">
        <f t="shared" si="80"/>
        <v>0</v>
      </c>
      <c r="M305" s="83">
        <v>0</v>
      </c>
      <c r="N305" s="84"/>
      <c r="O305" s="32">
        <f t="shared" si="81"/>
        <v>0</v>
      </c>
      <c r="P305" s="32">
        <f t="shared" si="82"/>
        <v>33.04</v>
      </c>
      <c r="Q305" s="98"/>
      <c r="R305" s="98"/>
      <c r="IP305" s="100"/>
      <c r="IQ305" s="100"/>
      <c r="IR305" s="100"/>
      <c r="IS305" s="100"/>
      <c r="IT305" s="100"/>
    </row>
    <row r="306" spans="1:254" s="80" customFormat="1" ht="63" customHeight="1">
      <c r="A306" s="78" t="s">
        <v>84</v>
      </c>
      <c r="B306" s="25" t="s">
        <v>87</v>
      </c>
      <c r="C306" s="44">
        <f>D306+G306+J306+M306</f>
        <v>5235</v>
      </c>
      <c r="D306" s="44">
        <f>SUM(D307:D309)</f>
        <v>2308</v>
      </c>
      <c r="E306" s="45"/>
      <c r="F306" s="32">
        <f t="shared" si="78"/>
        <v>2308</v>
      </c>
      <c r="G306" s="44">
        <f>SUM(G307:G309)</f>
        <v>1307</v>
      </c>
      <c r="H306" s="45"/>
      <c r="I306" s="32">
        <f t="shared" si="79"/>
        <v>1307</v>
      </c>
      <c r="J306" s="44">
        <f>SUM(J307:J309)</f>
        <v>1155</v>
      </c>
      <c r="K306" s="45"/>
      <c r="L306" s="32">
        <f t="shared" si="80"/>
        <v>1155</v>
      </c>
      <c r="M306" s="44">
        <f>SUM(M307:M309)</f>
        <v>465</v>
      </c>
      <c r="N306" s="45"/>
      <c r="O306" s="32">
        <f t="shared" si="81"/>
        <v>465</v>
      </c>
      <c r="P306" s="32">
        <f t="shared" si="82"/>
        <v>5235</v>
      </c>
      <c r="Q306" s="89"/>
      <c r="R306" s="89"/>
      <c r="IP306" s="81"/>
      <c r="IQ306" s="81"/>
      <c r="IR306" s="81"/>
      <c r="IS306" s="81"/>
      <c r="IT306" s="81"/>
    </row>
    <row r="307" spans="1:254" s="80" customFormat="1" ht="16.5" customHeight="1">
      <c r="A307" s="46" t="s">
        <v>34</v>
      </c>
      <c r="B307" s="82"/>
      <c r="C307" s="83">
        <f>D307+G307+J307+M307</f>
        <v>0</v>
      </c>
      <c r="D307" s="83">
        <v>0</v>
      </c>
      <c r="E307" s="84"/>
      <c r="F307" s="32">
        <f t="shared" si="78"/>
        <v>0</v>
      </c>
      <c r="G307" s="83">
        <v>0</v>
      </c>
      <c r="H307" s="84"/>
      <c r="I307" s="32">
        <f t="shared" si="79"/>
        <v>0</v>
      </c>
      <c r="J307" s="83">
        <v>0</v>
      </c>
      <c r="K307" s="84"/>
      <c r="L307" s="32">
        <f t="shared" si="80"/>
        <v>0</v>
      </c>
      <c r="M307" s="83">
        <v>0</v>
      </c>
      <c r="N307" s="84"/>
      <c r="O307" s="32">
        <f t="shared" si="81"/>
        <v>0</v>
      </c>
      <c r="P307" s="32">
        <f t="shared" si="82"/>
        <v>0</v>
      </c>
      <c r="Q307" s="89"/>
      <c r="R307" s="89"/>
      <c r="IP307" s="81"/>
      <c r="IQ307" s="81"/>
      <c r="IR307" s="81"/>
      <c r="IS307" s="81"/>
      <c r="IT307" s="81"/>
    </row>
    <row r="308" spans="1:254" s="80" customFormat="1" ht="16.5" customHeight="1">
      <c r="A308" s="41" t="s">
        <v>35</v>
      </c>
      <c r="B308" s="86"/>
      <c r="C308" s="83">
        <f>D308+G308+J308+M308</f>
        <v>5235</v>
      </c>
      <c r="D308" s="83">
        <v>2308</v>
      </c>
      <c r="E308" s="84"/>
      <c r="F308" s="32">
        <f t="shared" si="78"/>
        <v>2308</v>
      </c>
      <c r="G308" s="83">
        <v>1307</v>
      </c>
      <c r="H308" s="84"/>
      <c r="I308" s="32">
        <f t="shared" si="79"/>
        <v>1307</v>
      </c>
      <c r="J308" s="83">
        <v>1155</v>
      </c>
      <c r="K308" s="84"/>
      <c r="L308" s="32">
        <f t="shared" si="80"/>
        <v>1155</v>
      </c>
      <c r="M308" s="83">
        <v>465</v>
      </c>
      <c r="N308" s="84"/>
      <c r="O308" s="32">
        <f t="shared" si="81"/>
        <v>465</v>
      </c>
      <c r="P308" s="32">
        <f t="shared" si="82"/>
        <v>5235</v>
      </c>
      <c r="Q308" s="89"/>
      <c r="R308" s="89"/>
      <c r="IP308" s="81"/>
      <c r="IQ308" s="81"/>
      <c r="IR308" s="81"/>
      <c r="IS308" s="81"/>
      <c r="IT308" s="81"/>
    </row>
    <row r="309" spans="1:254" s="80" customFormat="1" ht="15.75" customHeight="1">
      <c r="A309" s="41" t="s">
        <v>36</v>
      </c>
      <c r="B309" s="87"/>
      <c r="C309" s="83">
        <f>D309+G309+J309+M309</f>
        <v>0</v>
      </c>
      <c r="D309" s="83">
        <v>0</v>
      </c>
      <c r="E309" s="84"/>
      <c r="F309" s="32">
        <f t="shared" si="78"/>
        <v>0</v>
      </c>
      <c r="G309" s="83">
        <v>0</v>
      </c>
      <c r="H309" s="84"/>
      <c r="I309" s="32">
        <f t="shared" si="79"/>
        <v>0</v>
      </c>
      <c r="J309" s="83">
        <v>0</v>
      </c>
      <c r="K309" s="84"/>
      <c r="L309" s="32">
        <f t="shared" si="80"/>
        <v>0</v>
      </c>
      <c r="M309" s="83">
        <v>0</v>
      </c>
      <c r="N309" s="84"/>
      <c r="O309" s="32">
        <f t="shared" si="81"/>
        <v>0</v>
      </c>
      <c r="P309" s="32">
        <f t="shared" si="82"/>
        <v>0</v>
      </c>
      <c r="Q309" s="89"/>
      <c r="R309" s="89"/>
      <c r="IP309" s="81"/>
      <c r="IQ309" s="81"/>
      <c r="IR309" s="81"/>
      <c r="IS309" s="81"/>
      <c r="IT309" s="81"/>
    </row>
    <row r="310" spans="1:254" s="80" customFormat="1" ht="18.75" customHeight="1" hidden="1">
      <c r="A310" s="41" t="s">
        <v>37</v>
      </c>
      <c r="B310" s="88"/>
      <c r="C310" s="83">
        <f>SUM(D310:J310)</f>
        <v>0</v>
      </c>
      <c r="D310" s="83"/>
      <c r="E310" s="84"/>
      <c r="F310" s="32">
        <f t="shared" si="78"/>
        <v>0</v>
      </c>
      <c r="G310" s="83"/>
      <c r="H310" s="84"/>
      <c r="I310" s="32">
        <f t="shared" si="79"/>
        <v>0</v>
      </c>
      <c r="J310" s="83"/>
      <c r="K310" s="84"/>
      <c r="L310" s="32">
        <f t="shared" si="80"/>
        <v>0</v>
      </c>
      <c r="M310" s="83"/>
      <c r="N310" s="84"/>
      <c r="O310" s="32">
        <f t="shared" si="81"/>
        <v>0</v>
      </c>
      <c r="P310" s="32">
        <f t="shared" si="82"/>
        <v>0</v>
      </c>
      <c r="Q310" s="89"/>
      <c r="R310" s="89"/>
      <c r="IP310" s="81"/>
      <c r="IQ310" s="81"/>
      <c r="IR310" s="81"/>
      <c r="IS310" s="81"/>
      <c r="IT310" s="81"/>
    </row>
    <row r="311" spans="1:254" s="80" customFormat="1" ht="15" customHeight="1" hidden="1">
      <c r="A311" s="41" t="s">
        <v>38</v>
      </c>
      <c r="B311" s="88"/>
      <c r="C311" s="83">
        <f>D311+G311+J311+M311</f>
        <v>5235</v>
      </c>
      <c r="D311" s="83">
        <v>2308</v>
      </c>
      <c r="E311" s="84"/>
      <c r="F311" s="32">
        <f t="shared" si="78"/>
        <v>2308</v>
      </c>
      <c r="G311" s="83">
        <v>1307</v>
      </c>
      <c r="H311" s="84"/>
      <c r="I311" s="32">
        <f t="shared" si="79"/>
        <v>1307</v>
      </c>
      <c r="J311" s="83">
        <v>1155</v>
      </c>
      <c r="K311" s="84"/>
      <c r="L311" s="32">
        <f t="shared" si="80"/>
        <v>1155</v>
      </c>
      <c r="M311" s="83">
        <v>465</v>
      </c>
      <c r="N311" s="84"/>
      <c r="O311" s="32">
        <f t="shared" si="81"/>
        <v>465</v>
      </c>
      <c r="P311" s="32">
        <f t="shared" si="82"/>
        <v>5235</v>
      </c>
      <c r="Q311" s="89"/>
      <c r="R311" s="89"/>
      <c r="IP311" s="81"/>
      <c r="IQ311" s="81"/>
      <c r="IR311" s="81"/>
      <c r="IS311" s="81"/>
      <c r="IT311" s="81"/>
    </row>
    <row r="312" spans="1:254" s="80" customFormat="1" ht="17.25" customHeight="1" hidden="1">
      <c r="A312" s="41" t="s">
        <v>39</v>
      </c>
      <c r="B312" s="88"/>
      <c r="C312" s="83">
        <f>SUM(D312:J312)</f>
        <v>0</v>
      </c>
      <c r="D312" s="83"/>
      <c r="E312" s="84"/>
      <c r="F312" s="32">
        <f t="shared" si="78"/>
        <v>0</v>
      </c>
      <c r="G312" s="83"/>
      <c r="H312" s="84"/>
      <c r="I312" s="32">
        <f t="shared" si="79"/>
        <v>0</v>
      </c>
      <c r="J312" s="83"/>
      <c r="K312" s="84"/>
      <c r="L312" s="32">
        <f t="shared" si="80"/>
        <v>0</v>
      </c>
      <c r="M312" s="83"/>
      <c r="N312" s="84"/>
      <c r="O312" s="32">
        <f t="shared" si="81"/>
        <v>0</v>
      </c>
      <c r="P312" s="32">
        <f t="shared" si="82"/>
        <v>0</v>
      </c>
      <c r="Q312" s="89"/>
      <c r="R312" s="89"/>
      <c r="IP312" s="81"/>
      <c r="IQ312" s="81"/>
      <c r="IR312" s="81"/>
      <c r="IS312" s="81"/>
      <c r="IT312" s="81"/>
    </row>
    <row r="313" spans="1:254" s="99" customFormat="1" ht="30" hidden="1">
      <c r="A313" s="52" t="s">
        <v>40</v>
      </c>
      <c r="B313" s="97"/>
      <c r="C313" s="83">
        <f>SUM(D313:J313)</f>
        <v>0</v>
      </c>
      <c r="D313" s="83"/>
      <c r="E313" s="84"/>
      <c r="F313" s="32">
        <f t="shared" si="78"/>
        <v>0</v>
      </c>
      <c r="G313" s="83"/>
      <c r="H313" s="84"/>
      <c r="I313" s="32">
        <f t="shared" si="79"/>
        <v>0</v>
      </c>
      <c r="J313" s="83"/>
      <c r="K313" s="84"/>
      <c r="L313" s="32">
        <f t="shared" si="80"/>
        <v>0</v>
      </c>
      <c r="M313" s="83"/>
      <c r="N313" s="84"/>
      <c r="O313" s="32">
        <f t="shared" si="81"/>
        <v>0</v>
      </c>
      <c r="P313" s="32">
        <f t="shared" si="82"/>
        <v>0</v>
      </c>
      <c r="Q313" s="98"/>
      <c r="R313" s="98"/>
      <c r="IP313" s="100"/>
      <c r="IQ313" s="100"/>
      <c r="IR313" s="100"/>
      <c r="IS313" s="100"/>
      <c r="IT313" s="100"/>
    </row>
    <row r="314" spans="1:254" s="80" customFormat="1" ht="35.25" customHeight="1">
      <c r="A314" s="78" t="s">
        <v>84</v>
      </c>
      <c r="B314" s="25" t="s">
        <v>88</v>
      </c>
      <c r="C314" s="44">
        <f aca="true" t="shared" si="84" ref="C314:P314">C315+C316+C317</f>
        <v>1858</v>
      </c>
      <c r="D314" s="44">
        <f t="shared" si="84"/>
        <v>0</v>
      </c>
      <c r="E314" s="44">
        <f t="shared" si="84"/>
        <v>0</v>
      </c>
      <c r="F314" s="44">
        <f t="shared" si="84"/>
        <v>0</v>
      </c>
      <c r="G314" s="44">
        <f t="shared" si="84"/>
        <v>11</v>
      </c>
      <c r="H314" s="44">
        <f t="shared" si="84"/>
        <v>0</v>
      </c>
      <c r="I314" s="44">
        <f t="shared" si="84"/>
        <v>11</v>
      </c>
      <c r="J314" s="44">
        <f t="shared" si="84"/>
        <v>0</v>
      </c>
      <c r="K314" s="44">
        <f t="shared" si="84"/>
        <v>0</v>
      </c>
      <c r="L314" s="44">
        <f t="shared" si="84"/>
        <v>0</v>
      </c>
      <c r="M314" s="44">
        <f t="shared" si="84"/>
        <v>1847</v>
      </c>
      <c r="N314" s="44">
        <f t="shared" si="84"/>
        <v>0</v>
      </c>
      <c r="O314" s="44">
        <f t="shared" si="84"/>
        <v>1847</v>
      </c>
      <c r="P314" s="44">
        <f t="shared" si="84"/>
        <v>1858</v>
      </c>
      <c r="Q314" s="89"/>
      <c r="R314" s="89"/>
      <c r="IP314" s="81"/>
      <c r="IQ314" s="81"/>
      <c r="IR314" s="81"/>
      <c r="IS314" s="81"/>
      <c r="IT314" s="81"/>
    </row>
    <row r="315" spans="1:254" s="80" customFormat="1" ht="16.5" customHeight="1">
      <c r="A315" s="34" t="s">
        <v>21</v>
      </c>
      <c r="B315" s="35" t="s">
        <v>22</v>
      </c>
      <c r="C315" s="83">
        <f>D315+G315+J315+M315</f>
        <v>1561</v>
      </c>
      <c r="D315" s="83">
        <v>0</v>
      </c>
      <c r="E315" s="84"/>
      <c r="F315" s="32">
        <f>D315+E315</f>
        <v>0</v>
      </c>
      <c r="G315" s="83">
        <v>9</v>
      </c>
      <c r="H315" s="84"/>
      <c r="I315" s="32">
        <f>G315+H315</f>
        <v>9</v>
      </c>
      <c r="J315" s="83">
        <v>0</v>
      </c>
      <c r="K315" s="84">
        <v>0</v>
      </c>
      <c r="L315" s="32">
        <v>0</v>
      </c>
      <c r="M315" s="83">
        <v>1552</v>
      </c>
      <c r="N315" s="84"/>
      <c r="O315" s="32">
        <f>M315+N315</f>
        <v>1552</v>
      </c>
      <c r="P315" s="32">
        <f>F315+I315+L315+O315</f>
        <v>1561</v>
      </c>
      <c r="Q315" s="89"/>
      <c r="R315" s="89"/>
      <c r="IP315" s="81"/>
      <c r="IQ315" s="81"/>
      <c r="IR315" s="81"/>
      <c r="IS315" s="81"/>
      <c r="IT315" s="81"/>
    </row>
    <row r="316" spans="1:254" s="80" customFormat="1" ht="16.5" customHeight="1">
      <c r="A316" s="34" t="s">
        <v>23</v>
      </c>
      <c r="B316" s="35" t="s">
        <v>24</v>
      </c>
      <c r="C316" s="83">
        <v>0</v>
      </c>
      <c r="D316" s="83">
        <v>0</v>
      </c>
      <c r="E316" s="84"/>
      <c r="F316" s="32">
        <f>D316+E316</f>
        <v>0</v>
      </c>
      <c r="G316" s="83">
        <v>0</v>
      </c>
      <c r="H316" s="84"/>
      <c r="I316" s="32">
        <f>G316+H316</f>
        <v>0</v>
      </c>
      <c r="J316" s="83">
        <v>0</v>
      </c>
      <c r="K316" s="84"/>
      <c r="L316" s="32">
        <f>J316+K316</f>
        <v>0</v>
      </c>
      <c r="M316" s="83">
        <v>0</v>
      </c>
      <c r="N316" s="84"/>
      <c r="O316" s="32">
        <f>M316+N316</f>
        <v>0</v>
      </c>
      <c r="P316" s="32">
        <f>F316+I316+L316+O316</f>
        <v>0</v>
      </c>
      <c r="Q316" s="89"/>
      <c r="R316" s="89"/>
      <c r="IP316" s="81"/>
      <c r="IQ316" s="81"/>
      <c r="IR316" s="81"/>
      <c r="IS316" s="81"/>
      <c r="IT316" s="81"/>
    </row>
    <row r="317" spans="1:254" s="80" customFormat="1" ht="15.75" customHeight="1">
      <c r="A317" s="40" t="s">
        <v>25</v>
      </c>
      <c r="B317" s="35" t="s">
        <v>26</v>
      </c>
      <c r="C317" s="83">
        <f>D317+G317+J317+M317</f>
        <v>297</v>
      </c>
      <c r="D317" s="83">
        <v>0</v>
      </c>
      <c r="E317" s="84"/>
      <c r="F317" s="32">
        <f>D317+E317</f>
        <v>0</v>
      </c>
      <c r="G317" s="83">
        <v>2</v>
      </c>
      <c r="H317" s="84"/>
      <c r="I317" s="32">
        <f>G317+H317</f>
        <v>2</v>
      </c>
      <c r="J317" s="83">
        <v>0</v>
      </c>
      <c r="K317" s="84">
        <v>0</v>
      </c>
      <c r="L317" s="32">
        <v>0</v>
      </c>
      <c r="M317" s="83">
        <v>295</v>
      </c>
      <c r="N317" s="84"/>
      <c r="O317" s="32">
        <f>M317+N317</f>
        <v>295</v>
      </c>
      <c r="P317" s="32">
        <f>F317+I317+L317+O317</f>
        <v>297</v>
      </c>
      <c r="Q317" s="89"/>
      <c r="R317" s="89"/>
      <c r="IP317" s="81"/>
      <c r="IQ317" s="81"/>
      <c r="IR317" s="81"/>
      <c r="IS317" s="81"/>
      <c r="IT317" s="81"/>
    </row>
    <row r="318" spans="1:254" s="80" customFormat="1" ht="15.75" customHeight="1" hidden="1">
      <c r="A318" s="41"/>
      <c r="B318" s="25"/>
      <c r="C318" s="83"/>
      <c r="D318" s="83"/>
      <c r="E318" s="84"/>
      <c r="F318" s="32"/>
      <c r="G318" s="83"/>
      <c r="H318" s="84"/>
      <c r="I318" s="32"/>
      <c r="J318" s="83"/>
      <c r="K318" s="84"/>
      <c r="L318" s="32"/>
      <c r="M318" s="83"/>
      <c r="N318" s="84"/>
      <c r="O318" s="32"/>
      <c r="P318" s="32"/>
      <c r="Q318" s="89"/>
      <c r="R318" s="89"/>
      <c r="IP318" s="81"/>
      <c r="IQ318" s="81"/>
      <c r="IR318" s="81"/>
      <c r="IS318" s="81"/>
      <c r="IT318" s="81"/>
    </row>
    <row r="319" spans="1:254" s="80" customFormat="1" ht="15" customHeight="1" hidden="1">
      <c r="A319" s="40" t="s">
        <v>27</v>
      </c>
      <c r="B319" s="43" t="s">
        <v>22</v>
      </c>
      <c r="C319" s="83">
        <f>G319+M319</f>
        <v>1561</v>
      </c>
      <c r="D319" s="83">
        <v>0</v>
      </c>
      <c r="E319" s="84"/>
      <c r="F319" s="32">
        <f aca="true" t="shared" si="85" ref="F319:F329">D319+E319</f>
        <v>0</v>
      </c>
      <c r="G319" s="83">
        <v>9</v>
      </c>
      <c r="H319" s="84"/>
      <c r="I319" s="32">
        <f aca="true" t="shared" si="86" ref="I319:I329">G319+H319</f>
        <v>9</v>
      </c>
      <c r="J319" s="83">
        <v>0</v>
      </c>
      <c r="K319" s="84">
        <v>0</v>
      </c>
      <c r="L319" s="32">
        <f>J319+K319</f>
        <v>0</v>
      </c>
      <c r="M319" s="83">
        <v>1552</v>
      </c>
      <c r="N319" s="84"/>
      <c r="O319" s="32">
        <f aca="true" t="shared" si="87" ref="O319:O329">M319+N319</f>
        <v>1552</v>
      </c>
      <c r="P319" s="32">
        <f aca="true" t="shared" si="88" ref="P319:P329">F319+I319+L319+O319</f>
        <v>1561</v>
      </c>
      <c r="Q319" s="89"/>
      <c r="R319" s="89"/>
      <c r="IP319" s="81"/>
      <c r="IQ319" s="81"/>
      <c r="IR319" s="81"/>
      <c r="IS319" s="81"/>
      <c r="IT319" s="81"/>
    </row>
    <row r="320" spans="1:254" s="80" customFormat="1" ht="17.25" customHeight="1" hidden="1">
      <c r="A320" s="40" t="s">
        <v>28</v>
      </c>
      <c r="B320" s="43" t="s">
        <v>29</v>
      </c>
      <c r="C320" s="83">
        <f>SUM(D320:J320)</f>
        <v>0</v>
      </c>
      <c r="D320" s="83"/>
      <c r="E320" s="84"/>
      <c r="F320" s="32">
        <f t="shared" si="85"/>
        <v>0</v>
      </c>
      <c r="G320" s="83"/>
      <c r="H320" s="84"/>
      <c r="I320" s="32">
        <f t="shared" si="86"/>
        <v>0</v>
      </c>
      <c r="J320" s="83"/>
      <c r="K320" s="84">
        <v>0</v>
      </c>
      <c r="L320" s="32">
        <v>0</v>
      </c>
      <c r="M320" s="83"/>
      <c r="N320" s="84"/>
      <c r="O320" s="32">
        <f t="shared" si="87"/>
        <v>0</v>
      </c>
      <c r="P320" s="32">
        <f t="shared" si="88"/>
        <v>0</v>
      </c>
      <c r="Q320" s="89"/>
      <c r="R320" s="89"/>
      <c r="IP320" s="81"/>
      <c r="IQ320" s="81"/>
      <c r="IR320" s="81"/>
      <c r="IS320" s="81"/>
      <c r="IT320" s="81"/>
    </row>
    <row r="321" spans="1:254" s="99" customFormat="1" ht="15" hidden="1">
      <c r="A321" s="40" t="s">
        <v>30</v>
      </c>
      <c r="B321" s="43" t="s">
        <v>26</v>
      </c>
      <c r="C321" s="83">
        <f>I321+M321</f>
        <v>297</v>
      </c>
      <c r="D321" s="83"/>
      <c r="E321" s="84"/>
      <c r="F321" s="32">
        <f t="shared" si="85"/>
        <v>0</v>
      </c>
      <c r="G321" s="83">
        <v>2</v>
      </c>
      <c r="H321" s="84"/>
      <c r="I321" s="32">
        <f t="shared" si="86"/>
        <v>2</v>
      </c>
      <c r="J321" s="83"/>
      <c r="K321" s="84"/>
      <c r="L321" s="32">
        <f aca="true" t="shared" si="89" ref="L321:L329">J321+K321</f>
        <v>0</v>
      </c>
      <c r="M321" s="83">
        <v>295</v>
      </c>
      <c r="N321" s="84"/>
      <c r="O321" s="32">
        <f t="shared" si="87"/>
        <v>295</v>
      </c>
      <c r="P321" s="32">
        <f t="shared" si="88"/>
        <v>297</v>
      </c>
      <c r="Q321" s="98"/>
      <c r="R321" s="98"/>
      <c r="IP321" s="100"/>
      <c r="IQ321" s="100"/>
      <c r="IR321" s="100"/>
      <c r="IS321" s="100"/>
      <c r="IT321" s="100"/>
    </row>
    <row r="322" spans="1:254" s="80" customFormat="1" ht="60" customHeight="1">
      <c r="A322" s="78" t="s">
        <v>84</v>
      </c>
      <c r="B322" s="25" t="s">
        <v>89</v>
      </c>
      <c r="C322" s="44">
        <f>D322+G322+J322+M322</f>
        <v>10539</v>
      </c>
      <c r="D322" s="44">
        <f>SUM(D323:D325)</f>
        <v>50</v>
      </c>
      <c r="E322" s="45"/>
      <c r="F322" s="32">
        <f t="shared" si="85"/>
        <v>50</v>
      </c>
      <c r="G322" s="44">
        <f>SUM(G323:G325)</f>
        <v>2799</v>
      </c>
      <c r="H322" s="45"/>
      <c r="I322" s="32">
        <f t="shared" si="86"/>
        <v>2799</v>
      </c>
      <c r="J322" s="44">
        <f>SUM(J323:J325)</f>
        <v>5649</v>
      </c>
      <c r="K322" s="45"/>
      <c r="L322" s="32">
        <f t="shared" si="89"/>
        <v>5649</v>
      </c>
      <c r="M322" s="44">
        <f>SUM(M323:M325)</f>
        <v>2041</v>
      </c>
      <c r="N322" s="45"/>
      <c r="O322" s="32">
        <f t="shared" si="87"/>
        <v>2041</v>
      </c>
      <c r="P322" s="32">
        <f t="shared" si="88"/>
        <v>10539</v>
      </c>
      <c r="Q322" s="89"/>
      <c r="R322" s="89"/>
      <c r="IP322" s="81"/>
      <c r="IQ322" s="81"/>
      <c r="IR322" s="81"/>
      <c r="IS322" s="81"/>
      <c r="IT322" s="81"/>
    </row>
    <row r="323" spans="1:254" s="80" customFormat="1" ht="16.5" customHeight="1">
      <c r="A323" s="46" t="s">
        <v>34</v>
      </c>
      <c r="B323" s="82"/>
      <c r="C323" s="83">
        <f>D323+G323+J323+M323</f>
        <v>0</v>
      </c>
      <c r="D323" s="83">
        <v>0</v>
      </c>
      <c r="E323" s="84"/>
      <c r="F323" s="32">
        <f t="shared" si="85"/>
        <v>0</v>
      </c>
      <c r="G323" s="83">
        <v>0</v>
      </c>
      <c r="H323" s="84"/>
      <c r="I323" s="32">
        <f t="shared" si="86"/>
        <v>0</v>
      </c>
      <c r="J323" s="83">
        <v>0</v>
      </c>
      <c r="K323" s="84"/>
      <c r="L323" s="32">
        <f t="shared" si="89"/>
        <v>0</v>
      </c>
      <c r="M323" s="83">
        <v>0</v>
      </c>
      <c r="N323" s="84"/>
      <c r="O323" s="32">
        <f t="shared" si="87"/>
        <v>0</v>
      </c>
      <c r="P323" s="32">
        <f t="shared" si="88"/>
        <v>0</v>
      </c>
      <c r="Q323" s="89"/>
      <c r="R323" s="89"/>
      <c r="IP323" s="81"/>
      <c r="IQ323" s="81"/>
      <c r="IR323" s="81"/>
      <c r="IS323" s="81"/>
      <c r="IT323" s="81"/>
    </row>
    <row r="324" spans="1:254" s="80" customFormat="1" ht="16.5" customHeight="1">
      <c r="A324" s="41" t="s">
        <v>35</v>
      </c>
      <c r="B324" s="86"/>
      <c r="C324" s="83">
        <f>D324+G324+J324+M324</f>
        <v>9890</v>
      </c>
      <c r="D324" s="83">
        <f>700-650</f>
        <v>50</v>
      </c>
      <c r="E324" s="84"/>
      <c r="F324" s="32">
        <f t="shared" si="85"/>
        <v>50</v>
      </c>
      <c r="G324" s="83">
        <f>2149+650</f>
        <v>2799</v>
      </c>
      <c r="H324" s="84"/>
      <c r="I324" s="32">
        <f t="shared" si="86"/>
        <v>2799</v>
      </c>
      <c r="J324" s="83">
        <v>5000</v>
      </c>
      <c r="K324" s="84"/>
      <c r="L324" s="32">
        <f t="shared" si="89"/>
        <v>5000</v>
      </c>
      <c r="M324" s="83">
        <v>2041</v>
      </c>
      <c r="N324" s="84"/>
      <c r="O324" s="32">
        <f t="shared" si="87"/>
        <v>2041</v>
      </c>
      <c r="P324" s="32">
        <f t="shared" si="88"/>
        <v>9890</v>
      </c>
      <c r="Q324" s="89"/>
      <c r="R324" s="89"/>
      <c r="IP324" s="81"/>
      <c r="IQ324" s="81"/>
      <c r="IR324" s="81"/>
      <c r="IS324" s="81"/>
      <c r="IT324" s="81"/>
    </row>
    <row r="325" spans="1:254" s="80" customFormat="1" ht="15.75" customHeight="1">
      <c r="A325" s="41" t="s">
        <v>36</v>
      </c>
      <c r="B325" s="87"/>
      <c r="C325" s="83">
        <f>D325+G325+J325+M325</f>
        <v>649</v>
      </c>
      <c r="D325" s="83">
        <v>0</v>
      </c>
      <c r="E325" s="84"/>
      <c r="F325" s="32">
        <f t="shared" si="85"/>
        <v>0</v>
      </c>
      <c r="G325" s="83">
        <v>0</v>
      </c>
      <c r="H325" s="84"/>
      <c r="I325" s="32">
        <f t="shared" si="86"/>
        <v>0</v>
      </c>
      <c r="J325" s="83">
        <v>649</v>
      </c>
      <c r="K325" s="84"/>
      <c r="L325" s="32">
        <f t="shared" si="89"/>
        <v>649</v>
      </c>
      <c r="M325" s="83">
        <v>0</v>
      </c>
      <c r="N325" s="84"/>
      <c r="O325" s="32">
        <f t="shared" si="87"/>
        <v>0</v>
      </c>
      <c r="P325" s="32">
        <f t="shared" si="88"/>
        <v>649</v>
      </c>
      <c r="Q325" s="89"/>
      <c r="R325" s="89"/>
      <c r="IP325" s="81"/>
      <c r="IQ325" s="81"/>
      <c r="IR325" s="81"/>
      <c r="IS325" s="81"/>
      <c r="IT325" s="81"/>
    </row>
    <row r="326" spans="1:254" s="80" customFormat="1" ht="18.75" customHeight="1" hidden="1">
      <c r="A326" s="41" t="s">
        <v>37</v>
      </c>
      <c r="B326" s="88"/>
      <c r="C326" s="83">
        <f>SUM(D326:J326)</f>
        <v>0</v>
      </c>
      <c r="D326" s="83"/>
      <c r="E326" s="84"/>
      <c r="F326" s="32">
        <f t="shared" si="85"/>
        <v>0</v>
      </c>
      <c r="G326" s="83"/>
      <c r="H326" s="84"/>
      <c r="I326" s="32">
        <f t="shared" si="86"/>
        <v>0</v>
      </c>
      <c r="J326" s="83"/>
      <c r="K326" s="84"/>
      <c r="L326" s="32">
        <f t="shared" si="89"/>
        <v>0</v>
      </c>
      <c r="M326" s="83"/>
      <c r="N326" s="84"/>
      <c r="O326" s="32">
        <f t="shared" si="87"/>
        <v>0</v>
      </c>
      <c r="P326" s="32">
        <f t="shared" si="88"/>
        <v>0</v>
      </c>
      <c r="Q326" s="89"/>
      <c r="R326" s="89"/>
      <c r="IP326" s="81"/>
      <c r="IQ326" s="81"/>
      <c r="IR326" s="81"/>
      <c r="IS326" s="81"/>
      <c r="IT326" s="81"/>
    </row>
    <row r="327" spans="1:254" s="80" customFormat="1" ht="15" customHeight="1" hidden="1">
      <c r="A327" s="41" t="s">
        <v>38</v>
      </c>
      <c r="B327" s="88"/>
      <c r="C327" s="83">
        <v>9890</v>
      </c>
      <c r="D327" s="83">
        <f>D324</f>
        <v>50</v>
      </c>
      <c r="E327" s="84"/>
      <c r="F327" s="32">
        <f t="shared" si="85"/>
        <v>50</v>
      </c>
      <c r="G327" s="83">
        <f>G324</f>
        <v>2799</v>
      </c>
      <c r="H327" s="84"/>
      <c r="I327" s="32">
        <f t="shared" si="86"/>
        <v>2799</v>
      </c>
      <c r="J327" s="83">
        <f>J324</f>
        <v>5000</v>
      </c>
      <c r="K327" s="84"/>
      <c r="L327" s="32">
        <f t="shared" si="89"/>
        <v>5000</v>
      </c>
      <c r="M327" s="83">
        <f>M324</f>
        <v>2041</v>
      </c>
      <c r="N327" s="84"/>
      <c r="O327" s="32">
        <f t="shared" si="87"/>
        <v>2041</v>
      </c>
      <c r="P327" s="32">
        <f t="shared" si="88"/>
        <v>9890</v>
      </c>
      <c r="Q327" s="89"/>
      <c r="R327" s="89"/>
      <c r="IP327" s="81"/>
      <c r="IQ327" s="81"/>
      <c r="IR327" s="81"/>
      <c r="IS327" s="81"/>
      <c r="IT327" s="81"/>
    </row>
    <row r="328" spans="1:254" s="80" customFormat="1" ht="17.25" customHeight="1" hidden="1">
      <c r="A328" s="41" t="s">
        <v>39</v>
      </c>
      <c r="B328" s="88"/>
      <c r="C328" s="83">
        <f>SUM(D328:M328)</f>
        <v>0</v>
      </c>
      <c r="D328" s="83">
        <v>0</v>
      </c>
      <c r="E328" s="84"/>
      <c r="F328" s="32">
        <f t="shared" si="85"/>
        <v>0</v>
      </c>
      <c r="G328" s="83">
        <v>0</v>
      </c>
      <c r="H328" s="84"/>
      <c r="I328" s="32">
        <f t="shared" si="86"/>
        <v>0</v>
      </c>
      <c r="J328" s="83">
        <v>0</v>
      </c>
      <c r="K328" s="84"/>
      <c r="L328" s="32">
        <f t="shared" si="89"/>
        <v>0</v>
      </c>
      <c r="M328" s="83">
        <v>0</v>
      </c>
      <c r="N328" s="84"/>
      <c r="O328" s="32">
        <f t="shared" si="87"/>
        <v>0</v>
      </c>
      <c r="P328" s="32">
        <f t="shared" si="88"/>
        <v>0</v>
      </c>
      <c r="Q328" s="89"/>
      <c r="R328" s="89"/>
      <c r="IP328" s="81"/>
      <c r="IQ328" s="81"/>
      <c r="IR328" s="81"/>
      <c r="IS328" s="81"/>
      <c r="IT328" s="81"/>
    </row>
    <row r="329" spans="1:254" s="99" customFormat="1" ht="30" hidden="1">
      <c r="A329" s="52" t="s">
        <v>40</v>
      </c>
      <c r="B329" s="97"/>
      <c r="C329" s="83">
        <f>SUM(D329:J329)</f>
        <v>649</v>
      </c>
      <c r="D329" s="83"/>
      <c r="E329" s="84"/>
      <c r="F329" s="32">
        <f t="shared" si="85"/>
        <v>0</v>
      </c>
      <c r="G329" s="83"/>
      <c r="H329" s="84"/>
      <c r="I329" s="32">
        <f t="shared" si="86"/>
        <v>0</v>
      </c>
      <c r="J329" s="83">
        <f>J325</f>
        <v>649</v>
      </c>
      <c r="K329" s="84"/>
      <c r="L329" s="32">
        <f t="shared" si="89"/>
        <v>649</v>
      </c>
      <c r="M329" s="83"/>
      <c r="N329" s="84"/>
      <c r="O329" s="32">
        <f t="shared" si="87"/>
        <v>0</v>
      </c>
      <c r="P329" s="32">
        <f t="shared" si="88"/>
        <v>649</v>
      </c>
      <c r="Q329" s="98"/>
      <c r="R329" s="98"/>
      <c r="IP329" s="100"/>
      <c r="IQ329" s="100"/>
      <c r="IR329" s="100"/>
      <c r="IS329" s="100"/>
      <c r="IT329" s="100"/>
    </row>
    <row r="330" spans="1:254" s="80" customFormat="1" ht="34.5" customHeight="1">
      <c r="A330" s="78" t="s">
        <v>84</v>
      </c>
      <c r="B330" s="25" t="s">
        <v>90</v>
      </c>
      <c r="C330" s="44">
        <f aca="true" t="shared" si="90" ref="C330:P330">C331+C332+C333</f>
        <v>11</v>
      </c>
      <c r="D330" s="44">
        <f t="shared" si="90"/>
        <v>0</v>
      </c>
      <c r="E330" s="44">
        <f t="shared" si="90"/>
        <v>0</v>
      </c>
      <c r="F330" s="44">
        <f t="shared" si="90"/>
        <v>0</v>
      </c>
      <c r="G330" s="44">
        <f t="shared" si="90"/>
        <v>11</v>
      </c>
      <c r="H330" s="44">
        <f t="shared" si="90"/>
        <v>0</v>
      </c>
      <c r="I330" s="44">
        <f t="shared" si="90"/>
        <v>11</v>
      </c>
      <c r="J330" s="44">
        <f t="shared" si="90"/>
        <v>0</v>
      </c>
      <c r="K330" s="44">
        <f t="shared" si="90"/>
        <v>0</v>
      </c>
      <c r="L330" s="44">
        <f t="shared" si="90"/>
        <v>0</v>
      </c>
      <c r="M330" s="44">
        <f t="shared" si="90"/>
        <v>0</v>
      </c>
      <c r="N330" s="44">
        <f t="shared" si="90"/>
        <v>0</v>
      </c>
      <c r="O330" s="44">
        <f t="shared" si="90"/>
        <v>0</v>
      </c>
      <c r="P330" s="44">
        <f t="shared" si="90"/>
        <v>11</v>
      </c>
      <c r="Q330" s="89"/>
      <c r="R330" s="89"/>
      <c r="IP330" s="81"/>
      <c r="IQ330" s="81"/>
      <c r="IR330" s="81"/>
      <c r="IS330" s="81"/>
      <c r="IT330" s="81"/>
    </row>
    <row r="331" spans="1:254" s="80" customFormat="1" ht="16.5" customHeight="1">
      <c r="A331" s="34" t="s">
        <v>21</v>
      </c>
      <c r="B331" s="35" t="s">
        <v>22</v>
      </c>
      <c r="C331" s="83">
        <f>D331+G331+J331+M331</f>
        <v>9</v>
      </c>
      <c r="D331" s="83">
        <v>0</v>
      </c>
      <c r="E331" s="84"/>
      <c r="F331" s="32">
        <f>D331+E331</f>
        <v>0</v>
      </c>
      <c r="G331" s="83">
        <v>9</v>
      </c>
      <c r="H331" s="84"/>
      <c r="I331" s="32">
        <f>G331+H331</f>
        <v>9</v>
      </c>
      <c r="J331" s="83">
        <v>0</v>
      </c>
      <c r="K331" s="84"/>
      <c r="L331" s="32">
        <f>J331+K331</f>
        <v>0</v>
      </c>
      <c r="M331" s="83">
        <v>0</v>
      </c>
      <c r="N331" s="84"/>
      <c r="O331" s="32">
        <f>M331+N331</f>
        <v>0</v>
      </c>
      <c r="P331" s="32">
        <f>F331+I331+L331+O331</f>
        <v>9</v>
      </c>
      <c r="Q331" s="89"/>
      <c r="R331" s="89"/>
      <c r="IP331" s="81"/>
      <c r="IQ331" s="81"/>
      <c r="IR331" s="81"/>
      <c r="IS331" s="81"/>
      <c r="IT331" s="81"/>
    </row>
    <row r="332" spans="1:254" s="80" customFormat="1" ht="16.5" customHeight="1">
      <c r="A332" s="34" t="s">
        <v>23</v>
      </c>
      <c r="B332" s="35" t="s">
        <v>24</v>
      </c>
      <c r="C332" s="83">
        <v>0</v>
      </c>
      <c r="D332" s="83">
        <v>0</v>
      </c>
      <c r="E332" s="84"/>
      <c r="F332" s="32">
        <f>D332+E332</f>
        <v>0</v>
      </c>
      <c r="G332" s="83">
        <v>0</v>
      </c>
      <c r="H332" s="84"/>
      <c r="I332" s="32">
        <f>G332+H332</f>
        <v>0</v>
      </c>
      <c r="J332" s="83">
        <v>0</v>
      </c>
      <c r="K332" s="84"/>
      <c r="L332" s="32">
        <f>J332+K332</f>
        <v>0</v>
      </c>
      <c r="M332" s="83">
        <v>0</v>
      </c>
      <c r="N332" s="84"/>
      <c r="O332" s="32">
        <f>M332+N332</f>
        <v>0</v>
      </c>
      <c r="P332" s="32">
        <f>F332+I332+L332+O332</f>
        <v>0</v>
      </c>
      <c r="Q332" s="89"/>
      <c r="R332" s="89"/>
      <c r="IP332" s="81"/>
      <c r="IQ332" s="81"/>
      <c r="IR332" s="81"/>
      <c r="IS332" s="81"/>
      <c r="IT332" s="81"/>
    </row>
    <row r="333" spans="1:254" s="80" customFormat="1" ht="15.75" customHeight="1">
      <c r="A333" s="40" t="s">
        <v>25</v>
      </c>
      <c r="B333" s="35" t="s">
        <v>26</v>
      </c>
      <c r="C333" s="83">
        <f>D333+G333+J333+M333</f>
        <v>2</v>
      </c>
      <c r="D333" s="83">
        <v>0</v>
      </c>
      <c r="E333" s="84"/>
      <c r="F333" s="32">
        <f>D333+E333</f>
        <v>0</v>
      </c>
      <c r="G333" s="83">
        <v>2</v>
      </c>
      <c r="H333" s="84"/>
      <c r="I333" s="32">
        <f>G333+H333</f>
        <v>2</v>
      </c>
      <c r="J333" s="83">
        <v>0</v>
      </c>
      <c r="K333" s="84"/>
      <c r="L333" s="32">
        <f>J333+K333</f>
        <v>0</v>
      </c>
      <c r="M333" s="83">
        <v>0</v>
      </c>
      <c r="N333" s="84"/>
      <c r="O333" s="32">
        <f>M333+N333</f>
        <v>0</v>
      </c>
      <c r="P333" s="32">
        <f>F333+I333+L333+O333</f>
        <v>2</v>
      </c>
      <c r="Q333" s="89"/>
      <c r="R333" s="89"/>
      <c r="IP333" s="81"/>
      <c r="IQ333" s="81"/>
      <c r="IR333" s="81"/>
      <c r="IS333" s="81"/>
      <c r="IT333" s="81"/>
    </row>
    <row r="334" spans="1:254" s="80" customFormat="1" ht="15.75" customHeight="1" hidden="1">
      <c r="A334" s="41"/>
      <c r="B334" s="25"/>
      <c r="C334" s="83"/>
      <c r="D334" s="83"/>
      <c r="E334" s="84"/>
      <c r="F334" s="32"/>
      <c r="G334" s="83"/>
      <c r="H334" s="84"/>
      <c r="I334" s="32"/>
      <c r="J334" s="83"/>
      <c r="K334" s="84"/>
      <c r="L334" s="32"/>
      <c r="M334" s="83"/>
      <c r="N334" s="84"/>
      <c r="O334" s="32"/>
      <c r="P334" s="32"/>
      <c r="Q334" s="89"/>
      <c r="R334" s="89"/>
      <c r="IP334" s="81"/>
      <c r="IQ334" s="81"/>
      <c r="IR334" s="81"/>
      <c r="IS334" s="81"/>
      <c r="IT334" s="81"/>
    </row>
    <row r="335" spans="1:254" s="80" customFormat="1" ht="15" customHeight="1" hidden="1">
      <c r="A335" s="40" t="s">
        <v>27</v>
      </c>
      <c r="B335" s="43" t="s">
        <v>22</v>
      </c>
      <c r="C335" s="83">
        <f>I335</f>
        <v>9</v>
      </c>
      <c r="D335" s="83">
        <v>0</v>
      </c>
      <c r="E335" s="84"/>
      <c r="F335" s="32">
        <f>D335+E335</f>
        <v>0</v>
      </c>
      <c r="G335" s="83">
        <v>9</v>
      </c>
      <c r="H335" s="84">
        <f>H331</f>
        <v>0</v>
      </c>
      <c r="I335" s="32">
        <f>G335+H335</f>
        <v>9</v>
      </c>
      <c r="J335" s="83">
        <v>0</v>
      </c>
      <c r="K335" s="84"/>
      <c r="L335" s="32">
        <f>J335+K335</f>
        <v>0</v>
      </c>
      <c r="M335" s="83">
        <v>0</v>
      </c>
      <c r="N335" s="84"/>
      <c r="O335" s="32">
        <f>M335+N335</f>
        <v>0</v>
      </c>
      <c r="P335" s="32">
        <f>F335+I335+L335+O335</f>
        <v>9</v>
      </c>
      <c r="Q335" s="89"/>
      <c r="R335" s="89"/>
      <c r="IP335" s="81"/>
      <c r="IQ335" s="81"/>
      <c r="IR335" s="81"/>
      <c r="IS335" s="81"/>
      <c r="IT335" s="81"/>
    </row>
    <row r="336" spans="1:254" s="80" customFormat="1" ht="17.25" customHeight="1" hidden="1">
      <c r="A336" s="40" t="s">
        <v>28</v>
      </c>
      <c r="B336" s="43" t="s">
        <v>29</v>
      </c>
      <c r="C336" s="83">
        <f>SUM(D336:J336)</f>
        <v>0</v>
      </c>
      <c r="D336" s="83"/>
      <c r="E336" s="84"/>
      <c r="F336" s="32">
        <f>D336+E336</f>
        <v>0</v>
      </c>
      <c r="G336" s="83"/>
      <c r="H336" s="84"/>
      <c r="I336" s="32">
        <f>G336+H336</f>
        <v>0</v>
      </c>
      <c r="J336" s="83"/>
      <c r="K336" s="84"/>
      <c r="L336" s="32">
        <f>J336+K336</f>
        <v>0</v>
      </c>
      <c r="M336" s="83"/>
      <c r="N336" s="84"/>
      <c r="O336" s="32">
        <f>M336+N336</f>
        <v>0</v>
      </c>
      <c r="P336" s="32">
        <f>F336+I336+L336+O336</f>
        <v>0</v>
      </c>
      <c r="Q336" s="89"/>
      <c r="R336" s="89"/>
      <c r="IP336" s="81"/>
      <c r="IQ336" s="81"/>
      <c r="IR336" s="81"/>
      <c r="IS336" s="81"/>
      <c r="IT336" s="81"/>
    </row>
    <row r="337" spans="1:254" s="99" customFormat="1" ht="15" hidden="1">
      <c r="A337" s="40" t="s">
        <v>30</v>
      </c>
      <c r="B337" s="43" t="s">
        <v>26</v>
      </c>
      <c r="C337" s="83">
        <f>I337</f>
        <v>2</v>
      </c>
      <c r="D337" s="83"/>
      <c r="E337" s="84"/>
      <c r="F337" s="32">
        <f>D337+E337</f>
        <v>0</v>
      </c>
      <c r="G337" s="83">
        <v>2</v>
      </c>
      <c r="H337" s="84">
        <f>H333</f>
        <v>0</v>
      </c>
      <c r="I337" s="32">
        <f>G337+H337</f>
        <v>2</v>
      </c>
      <c r="J337" s="83"/>
      <c r="K337" s="84"/>
      <c r="L337" s="32">
        <f>J337+K337</f>
        <v>0</v>
      </c>
      <c r="M337" s="83"/>
      <c r="N337" s="84"/>
      <c r="O337" s="32">
        <f>M337+N337</f>
        <v>0</v>
      </c>
      <c r="P337" s="32">
        <f>F337+I337+L337+O337</f>
        <v>2</v>
      </c>
      <c r="Q337" s="98"/>
      <c r="R337" s="98"/>
      <c r="IP337" s="100"/>
      <c r="IQ337" s="100"/>
      <c r="IR337" s="100"/>
      <c r="IS337" s="100"/>
      <c r="IT337" s="100"/>
    </row>
    <row r="338" spans="1:254" s="99" customFormat="1" ht="43.5" customHeight="1">
      <c r="A338" s="78" t="s">
        <v>84</v>
      </c>
      <c r="B338" s="122" t="s">
        <v>91</v>
      </c>
      <c r="C338" s="44">
        <f aca="true" t="shared" si="91" ref="C338:P338">C339+C340</f>
        <v>10</v>
      </c>
      <c r="D338" s="44">
        <f t="shared" si="91"/>
        <v>0</v>
      </c>
      <c r="E338" s="45">
        <f t="shared" si="91"/>
        <v>0</v>
      </c>
      <c r="F338" s="44">
        <f t="shared" si="91"/>
        <v>0</v>
      </c>
      <c r="G338" s="44">
        <f t="shared" si="91"/>
        <v>10</v>
      </c>
      <c r="H338" s="45">
        <f t="shared" si="91"/>
        <v>0</v>
      </c>
      <c r="I338" s="44">
        <f t="shared" si="91"/>
        <v>10</v>
      </c>
      <c r="J338" s="44">
        <f t="shared" si="91"/>
        <v>0</v>
      </c>
      <c r="K338" s="45">
        <f t="shared" si="91"/>
        <v>0</v>
      </c>
      <c r="L338" s="44">
        <f t="shared" si="91"/>
        <v>0</v>
      </c>
      <c r="M338" s="44">
        <f t="shared" si="91"/>
        <v>0</v>
      </c>
      <c r="N338" s="45">
        <f t="shared" si="91"/>
        <v>0</v>
      </c>
      <c r="O338" s="44">
        <f t="shared" si="91"/>
        <v>0</v>
      </c>
      <c r="P338" s="44">
        <f t="shared" si="91"/>
        <v>10</v>
      </c>
      <c r="Q338" s="98"/>
      <c r="R338" s="98"/>
      <c r="IP338" s="100"/>
      <c r="IQ338" s="100"/>
      <c r="IR338" s="100"/>
      <c r="IS338" s="100"/>
      <c r="IT338" s="100"/>
    </row>
    <row r="339" spans="1:254" s="99" customFormat="1" ht="16.5" customHeight="1">
      <c r="A339" s="46" t="s">
        <v>21</v>
      </c>
      <c r="B339" s="119" t="s">
        <v>22</v>
      </c>
      <c r="C339" s="83">
        <f>P339</f>
        <v>8</v>
      </c>
      <c r="D339" s="83">
        <v>0</v>
      </c>
      <c r="E339" s="84"/>
      <c r="F339" s="32">
        <f>D339+E339</f>
        <v>0</v>
      </c>
      <c r="G339" s="83">
        <v>8</v>
      </c>
      <c r="H339" s="84"/>
      <c r="I339" s="32">
        <f>G339+H339</f>
        <v>8</v>
      </c>
      <c r="J339" s="83"/>
      <c r="K339" s="84"/>
      <c r="L339" s="32">
        <f>J339+K339</f>
        <v>0</v>
      </c>
      <c r="M339" s="83"/>
      <c r="N339" s="84"/>
      <c r="O339" s="32">
        <f>M339+N339</f>
        <v>0</v>
      </c>
      <c r="P339" s="32">
        <f>F339+I339+L339+O339</f>
        <v>8</v>
      </c>
      <c r="Q339" s="98"/>
      <c r="R339" s="98"/>
      <c r="IP339" s="100"/>
      <c r="IQ339" s="100"/>
      <c r="IR339" s="100"/>
      <c r="IS339" s="100"/>
      <c r="IT339" s="100"/>
    </row>
    <row r="340" spans="1:254" s="99" customFormat="1" ht="16.5" customHeight="1">
      <c r="A340" s="41" t="s">
        <v>25</v>
      </c>
      <c r="B340" s="119" t="s">
        <v>26</v>
      </c>
      <c r="C340" s="83">
        <f>P340</f>
        <v>2</v>
      </c>
      <c r="D340" s="83">
        <v>0</v>
      </c>
      <c r="E340" s="84"/>
      <c r="F340" s="32">
        <f>D340+E340</f>
        <v>0</v>
      </c>
      <c r="G340" s="83">
        <v>2</v>
      </c>
      <c r="H340" s="84"/>
      <c r="I340" s="32">
        <f>G340+H340</f>
        <v>2</v>
      </c>
      <c r="J340" s="83"/>
      <c r="K340" s="84"/>
      <c r="L340" s="32">
        <f>J340+K340</f>
        <v>0</v>
      </c>
      <c r="M340" s="83"/>
      <c r="N340" s="84"/>
      <c r="O340" s="32">
        <f>M340+N340</f>
        <v>0</v>
      </c>
      <c r="P340" s="32">
        <f>F340+I340+L340+O340</f>
        <v>2</v>
      </c>
      <c r="Q340" s="98"/>
      <c r="R340" s="98"/>
      <c r="IP340" s="100"/>
      <c r="IQ340" s="100"/>
      <c r="IR340" s="100"/>
      <c r="IS340" s="100"/>
      <c r="IT340" s="100"/>
    </row>
    <row r="341" spans="1:254" s="99" customFormat="1" ht="16.5" customHeight="1" hidden="1">
      <c r="A341" s="41"/>
      <c r="B341" s="46"/>
      <c r="C341" s="83"/>
      <c r="D341" s="83"/>
      <c r="E341" s="84"/>
      <c r="F341" s="32"/>
      <c r="G341" s="83"/>
      <c r="H341" s="84"/>
      <c r="I341" s="32"/>
      <c r="J341" s="83"/>
      <c r="K341" s="84"/>
      <c r="L341" s="32">
        <f>J341+K341</f>
        <v>0</v>
      </c>
      <c r="M341" s="83"/>
      <c r="N341" s="84"/>
      <c r="O341" s="32">
        <f>M341+N341</f>
        <v>0</v>
      </c>
      <c r="P341" s="32"/>
      <c r="Q341" s="98"/>
      <c r="R341" s="98"/>
      <c r="IP341" s="100"/>
      <c r="IQ341" s="100"/>
      <c r="IR341" s="100"/>
      <c r="IS341" s="100"/>
      <c r="IT341" s="100"/>
    </row>
    <row r="342" spans="1:254" s="99" customFormat="1" ht="16.5" customHeight="1" hidden="1">
      <c r="A342" s="42"/>
      <c r="B342" s="120"/>
      <c r="C342" s="116">
        <f aca="true" t="shared" si="92" ref="C342:P342">C343+C344</f>
        <v>10</v>
      </c>
      <c r="D342" s="116">
        <f t="shared" si="92"/>
        <v>0</v>
      </c>
      <c r="E342" s="117">
        <f t="shared" si="92"/>
        <v>0</v>
      </c>
      <c r="F342" s="116">
        <f t="shared" si="92"/>
        <v>0</v>
      </c>
      <c r="G342" s="116">
        <f t="shared" si="92"/>
        <v>10</v>
      </c>
      <c r="H342" s="117">
        <f t="shared" si="92"/>
        <v>0</v>
      </c>
      <c r="I342" s="116">
        <f t="shared" si="92"/>
        <v>10</v>
      </c>
      <c r="J342" s="116">
        <f t="shared" si="92"/>
        <v>0</v>
      </c>
      <c r="K342" s="117">
        <f t="shared" si="92"/>
        <v>0</v>
      </c>
      <c r="L342" s="116">
        <f t="shared" si="92"/>
        <v>0</v>
      </c>
      <c r="M342" s="116">
        <f t="shared" si="92"/>
        <v>0</v>
      </c>
      <c r="N342" s="117">
        <f t="shared" si="92"/>
        <v>0</v>
      </c>
      <c r="O342" s="116">
        <f t="shared" si="92"/>
        <v>0</v>
      </c>
      <c r="P342" s="116">
        <f t="shared" si="92"/>
        <v>10</v>
      </c>
      <c r="Q342" s="98"/>
      <c r="R342" s="98"/>
      <c r="IP342" s="100"/>
      <c r="IQ342" s="100"/>
      <c r="IR342" s="100"/>
      <c r="IS342" s="100"/>
      <c r="IT342" s="100"/>
    </row>
    <row r="343" spans="1:254" s="99" customFormat="1" ht="16.5" customHeight="1" hidden="1">
      <c r="A343" s="40" t="s">
        <v>27</v>
      </c>
      <c r="B343" s="43" t="s">
        <v>22</v>
      </c>
      <c r="C343" s="83">
        <f>I343</f>
        <v>8</v>
      </c>
      <c r="D343" s="83">
        <v>0</v>
      </c>
      <c r="E343" s="84">
        <f aca="true" t="shared" si="93" ref="E343:P343">E339</f>
        <v>0</v>
      </c>
      <c r="F343" s="83">
        <f t="shared" si="93"/>
        <v>0</v>
      </c>
      <c r="G343" s="83">
        <f t="shared" si="93"/>
        <v>8</v>
      </c>
      <c r="H343" s="84">
        <f t="shared" si="93"/>
        <v>0</v>
      </c>
      <c r="I343" s="83">
        <f t="shared" si="93"/>
        <v>8</v>
      </c>
      <c r="J343" s="83">
        <f t="shared" si="93"/>
        <v>0</v>
      </c>
      <c r="K343" s="84">
        <f t="shared" si="93"/>
        <v>0</v>
      </c>
      <c r="L343" s="83">
        <f t="shared" si="93"/>
        <v>0</v>
      </c>
      <c r="M343" s="83">
        <f t="shared" si="93"/>
        <v>0</v>
      </c>
      <c r="N343" s="84">
        <f t="shared" si="93"/>
        <v>0</v>
      </c>
      <c r="O343" s="83">
        <f t="shared" si="93"/>
        <v>0</v>
      </c>
      <c r="P343" s="83">
        <f t="shared" si="93"/>
        <v>8</v>
      </c>
      <c r="Q343" s="98"/>
      <c r="R343" s="98"/>
      <c r="IP343" s="100"/>
      <c r="IQ343" s="100"/>
      <c r="IR343" s="100"/>
      <c r="IS343" s="100"/>
      <c r="IT343" s="100"/>
    </row>
    <row r="344" spans="1:254" s="99" customFormat="1" ht="16.5" customHeight="1" hidden="1">
      <c r="A344" s="40" t="s">
        <v>30</v>
      </c>
      <c r="B344" s="43" t="s">
        <v>26</v>
      </c>
      <c r="C344" s="83">
        <f>I344</f>
        <v>2</v>
      </c>
      <c r="D344" s="83">
        <v>0</v>
      </c>
      <c r="E344" s="84">
        <f aca="true" t="shared" si="94" ref="E344:P344">E340</f>
        <v>0</v>
      </c>
      <c r="F344" s="83">
        <f t="shared" si="94"/>
        <v>0</v>
      </c>
      <c r="G344" s="83">
        <f t="shared" si="94"/>
        <v>2</v>
      </c>
      <c r="H344" s="84">
        <f t="shared" si="94"/>
        <v>0</v>
      </c>
      <c r="I344" s="83">
        <f t="shared" si="94"/>
        <v>2</v>
      </c>
      <c r="J344" s="83">
        <f t="shared" si="94"/>
        <v>0</v>
      </c>
      <c r="K344" s="84">
        <f t="shared" si="94"/>
        <v>0</v>
      </c>
      <c r="L344" s="83">
        <f t="shared" si="94"/>
        <v>0</v>
      </c>
      <c r="M344" s="83">
        <f t="shared" si="94"/>
        <v>0</v>
      </c>
      <c r="N344" s="84">
        <f t="shared" si="94"/>
        <v>0</v>
      </c>
      <c r="O344" s="83">
        <f t="shared" si="94"/>
        <v>0</v>
      </c>
      <c r="P344" s="83">
        <f t="shared" si="94"/>
        <v>2</v>
      </c>
      <c r="Q344" s="98"/>
      <c r="R344" s="98"/>
      <c r="IP344" s="100"/>
      <c r="IQ344" s="100"/>
      <c r="IR344" s="100"/>
      <c r="IS344" s="100"/>
      <c r="IT344" s="100"/>
    </row>
    <row r="345" spans="1:254" s="93" customFormat="1" ht="17.25" customHeight="1">
      <c r="A345" s="177" t="s">
        <v>92</v>
      </c>
      <c r="B345" s="177"/>
      <c r="C345" s="32">
        <f aca="true" t="shared" si="95" ref="C345:P345">C286+C296+C306+C322+C338+C314+C330</f>
        <v>36678</v>
      </c>
      <c r="D345" s="32">
        <f t="shared" si="95"/>
        <v>6998</v>
      </c>
      <c r="E345" s="33">
        <f t="shared" si="95"/>
        <v>0</v>
      </c>
      <c r="F345" s="32">
        <f t="shared" si="95"/>
        <v>6998</v>
      </c>
      <c r="G345" s="32">
        <f t="shared" si="95"/>
        <v>8932</v>
      </c>
      <c r="H345" s="33">
        <f t="shared" si="95"/>
        <v>0</v>
      </c>
      <c r="I345" s="32">
        <f t="shared" si="95"/>
        <v>8932</v>
      </c>
      <c r="J345" s="32">
        <f t="shared" si="95"/>
        <v>11598</v>
      </c>
      <c r="K345" s="33">
        <f t="shared" si="95"/>
        <v>0</v>
      </c>
      <c r="L345" s="32">
        <f t="shared" si="95"/>
        <v>11598</v>
      </c>
      <c r="M345" s="32">
        <f t="shared" si="95"/>
        <v>9150</v>
      </c>
      <c r="N345" s="33">
        <f t="shared" si="95"/>
        <v>0</v>
      </c>
      <c r="O345" s="32">
        <f t="shared" si="95"/>
        <v>9150</v>
      </c>
      <c r="P345" s="32">
        <f t="shared" si="95"/>
        <v>36678</v>
      </c>
      <c r="Q345" s="92"/>
      <c r="R345" s="92"/>
      <c r="IP345" s="94"/>
      <c r="IQ345" s="94"/>
      <c r="IR345" s="94"/>
      <c r="IS345" s="94"/>
      <c r="IT345" s="94"/>
    </row>
    <row r="346" spans="1:254" s="80" customFormat="1" ht="16.5" customHeight="1">
      <c r="A346" s="178" t="s">
        <v>93</v>
      </c>
      <c r="B346" s="178"/>
      <c r="C346" s="178"/>
      <c r="D346" s="116"/>
      <c r="E346" s="117"/>
      <c r="F346" s="32">
        <f aca="true" t="shared" si="96" ref="F346:F377">D346+E346</f>
        <v>0</v>
      </c>
      <c r="G346" s="116"/>
      <c r="H346" s="117"/>
      <c r="I346" s="32">
        <f aca="true" t="shared" si="97" ref="I346:I377">G346+H346</f>
        <v>0</v>
      </c>
      <c r="J346" s="116"/>
      <c r="K346" s="117"/>
      <c r="L346" s="32">
        <f aca="true" t="shared" si="98" ref="L346:L377">J346+K346</f>
        <v>0</v>
      </c>
      <c r="M346" s="116"/>
      <c r="N346" s="117"/>
      <c r="O346" s="32">
        <f aca="true" t="shared" si="99" ref="O346:O377">M346+N346</f>
        <v>0</v>
      </c>
      <c r="P346" s="32">
        <f aca="true" t="shared" si="100" ref="P346:P377">F346+I346+L346+O346</f>
        <v>0</v>
      </c>
      <c r="Q346" s="89"/>
      <c r="R346" s="89"/>
      <c r="IP346" s="81"/>
      <c r="IQ346" s="81"/>
      <c r="IR346" s="81"/>
      <c r="IS346" s="81"/>
      <c r="IT346" s="81"/>
    </row>
    <row r="347" spans="1:254" s="80" customFormat="1" ht="32.25" customHeight="1">
      <c r="A347" s="121" t="s">
        <v>94</v>
      </c>
      <c r="B347" s="31" t="s">
        <v>95</v>
      </c>
      <c r="C347" s="44">
        <v>0</v>
      </c>
      <c r="D347" s="44">
        <v>0</v>
      </c>
      <c r="E347" s="45"/>
      <c r="F347" s="32">
        <f t="shared" si="96"/>
        <v>0</v>
      </c>
      <c r="G347" s="44">
        <f>G348+G349+G350</f>
        <v>0</v>
      </c>
      <c r="H347" s="45"/>
      <c r="I347" s="32">
        <f t="shared" si="97"/>
        <v>0</v>
      </c>
      <c r="J347" s="44">
        <f>J348+J349+J350</f>
        <v>0</v>
      </c>
      <c r="K347" s="45"/>
      <c r="L347" s="32">
        <f t="shared" si="98"/>
        <v>0</v>
      </c>
      <c r="M347" s="44">
        <f>M348+M349+M350</f>
        <v>0</v>
      </c>
      <c r="N347" s="45"/>
      <c r="O347" s="32">
        <f t="shared" si="99"/>
        <v>0</v>
      </c>
      <c r="P347" s="32">
        <f t="shared" si="100"/>
        <v>0</v>
      </c>
      <c r="Q347" s="79"/>
      <c r="R347" s="79"/>
      <c r="S347" s="79"/>
      <c r="IP347" s="81"/>
      <c r="IQ347" s="81"/>
      <c r="IR347" s="81"/>
      <c r="IS347" s="81"/>
      <c r="IT347" s="81"/>
    </row>
    <row r="348" spans="1:254" s="80" customFormat="1" ht="16.5" customHeight="1">
      <c r="A348" s="46" t="s">
        <v>34</v>
      </c>
      <c r="B348" s="88"/>
      <c r="C348" s="83">
        <v>0</v>
      </c>
      <c r="D348" s="83">
        <v>0</v>
      </c>
      <c r="E348" s="84"/>
      <c r="F348" s="32">
        <f t="shared" si="96"/>
        <v>0</v>
      </c>
      <c r="G348" s="83">
        <f>Q348*0.15</f>
        <v>0</v>
      </c>
      <c r="H348" s="84"/>
      <c r="I348" s="32">
        <f t="shared" si="97"/>
        <v>0</v>
      </c>
      <c r="J348" s="83">
        <f>R348*0.15</f>
        <v>0</v>
      </c>
      <c r="K348" s="84"/>
      <c r="L348" s="32">
        <f t="shared" si="98"/>
        <v>0</v>
      </c>
      <c r="M348" s="83">
        <f>U348*0.15</f>
        <v>0</v>
      </c>
      <c r="N348" s="84"/>
      <c r="O348" s="32">
        <f t="shared" si="99"/>
        <v>0</v>
      </c>
      <c r="P348" s="32">
        <f t="shared" si="100"/>
        <v>0</v>
      </c>
      <c r="Q348" s="173"/>
      <c r="R348" s="174"/>
      <c r="S348" s="174"/>
      <c r="IP348" s="81"/>
      <c r="IQ348" s="81"/>
      <c r="IR348" s="81"/>
      <c r="IS348" s="81"/>
      <c r="IT348" s="81"/>
    </row>
    <row r="349" spans="1:254" s="80" customFormat="1" ht="16.5" customHeight="1">
      <c r="A349" s="41" t="s">
        <v>35</v>
      </c>
      <c r="B349" s="88"/>
      <c r="C349" s="83">
        <v>0</v>
      </c>
      <c r="D349" s="83">
        <v>0</v>
      </c>
      <c r="E349" s="84"/>
      <c r="F349" s="32">
        <f t="shared" si="96"/>
        <v>0</v>
      </c>
      <c r="G349" s="83">
        <f>Q348*0.85</f>
        <v>0</v>
      </c>
      <c r="H349" s="84"/>
      <c r="I349" s="32">
        <f t="shared" si="97"/>
        <v>0</v>
      </c>
      <c r="J349" s="83">
        <f>R348*0.85</f>
        <v>0</v>
      </c>
      <c r="K349" s="84"/>
      <c r="L349" s="32">
        <f t="shared" si="98"/>
        <v>0</v>
      </c>
      <c r="M349" s="83">
        <f>U348*0.85</f>
        <v>0</v>
      </c>
      <c r="N349" s="84"/>
      <c r="O349" s="32">
        <f t="shared" si="99"/>
        <v>0</v>
      </c>
      <c r="P349" s="32">
        <f t="shared" si="100"/>
        <v>0</v>
      </c>
      <c r="Q349" s="173"/>
      <c r="R349" s="173"/>
      <c r="S349" s="174"/>
      <c r="IP349" s="81"/>
      <c r="IQ349" s="81"/>
      <c r="IR349" s="81"/>
      <c r="IS349" s="81"/>
      <c r="IT349" s="81"/>
    </row>
    <row r="350" spans="1:254" s="80" customFormat="1" ht="16.5" customHeight="1">
      <c r="A350" s="41" t="s">
        <v>36</v>
      </c>
      <c r="B350" s="88"/>
      <c r="C350" s="83">
        <v>0</v>
      </c>
      <c r="D350" s="83">
        <v>0</v>
      </c>
      <c r="E350" s="84"/>
      <c r="F350" s="32">
        <f t="shared" si="96"/>
        <v>0</v>
      </c>
      <c r="G350" s="83">
        <v>0</v>
      </c>
      <c r="H350" s="84"/>
      <c r="I350" s="32">
        <f t="shared" si="97"/>
        <v>0</v>
      </c>
      <c r="J350" s="83">
        <f>R350</f>
        <v>0</v>
      </c>
      <c r="K350" s="84"/>
      <c r="L350" s="32">
        <f t="shared" si="98"/>
        <v>0</v>
      </c>
      <c r="M350" s="83">
        <f>U350</f>
        <v>0</v>
      </c>
      <c r="N350" s="84"/>
      <c r="O350" s="32">
        <f t="shared" si="99"/>
        <v>0</v>
      </c>
      <c r="P350" s="32">
        <f t="shared" si="100"/>
        <v>0</v>
      </c>
      <c r="Q350" s="79"/>
      <c r="R350" s="79"/>
      <c r="IP350" s="81"/>
      <c r="IQ350" s="81"/>
      <c r="IR350" s="81"/>
      <c r="IS350" s="81"/>
      <c r="IT350" s="81"/>
    </row>
    <row r="351" spans="1:254" s="80" customFormat="1" ht="16.5" customHeight="1" hidden="1">
      <c r="A351" s="41"/>
      <c r="B351" s="88"/>
      <c r="C351" s="83"/>
      <c r="D351" s="83"/>
      <c r="E351" s="84"/>
      <c r="F351" s="32">
        <f t="shared" si="96"/>
        <v>0</v>
      </c>
      <c r="G351" s="83"/>
      <c r="H351" s="84"/>
      <c r="I351" s="32">
        <f t="shared" si="97"/>
        <v>0</v>
      </c>
      <c r="J351" s="83"/>
      <c r="K351" s="84"/>
      <c r="L351" s="32">
        <f t="shared" si="98"/>
        <v>0</v>
      </c>
      <c r="M351" s="83"/>
      <c r="N351" s="84"/>
      <c r="O351" s="32">
        <f t="shared" si="99"/>
        <v>0</v>
      </c>
      <c r="P351" s="32">
        <f t="shared" si="100"/>
        <v>0</v>
      </c>
      <c r="Q351" s="89"/>
      <c r="R351" s="89"/>
      <c r="IP351" s="81"/>
      <c r="IQ351" s="81"/>
      <c r="IR351" s="81"/>
      <c r="IS351" s="81"/>
      <c r="IT351" s="81"/>
    </row>
    <row r="352" spans="1:254" s="93" customFormat="1" ht="16.5" customHeight="1" hidden="1">
      <c r="A352" s="42"/>
      <c r="B352" s="31"/>
      <c r="C352" s="90">
        <v>0</v>
      </c>
      <c r="D352" s="90">
        <f>D353+D354+D355+D357+D356</f>
        <v>0</v>
      </c>
      <c r="E352" s="91"/>
      <c r="F352" s="32">
        <f t="shared" si="96"/>
        <v>0</v>
      </c>
      <c r="G352" s="90">
        <f>G353+G354+G355+G357+G356</f>
        <v>0</v>
      </c>
      <c r="H352" s="91"/>
      <c r="I352" s="32">
        <f t="shared" si="97"/>
        <v>0</v>
      </c>
      <c r="J352" s="90">
        <f>J353+J354+J355+J357+J356</f>
        <v>0</v>
      </c>
      <c r="K352" s="91"/>
      <c r="L352" s="32">
        <f t="shared" si="98"/>
        <v>0</v>
      </c>
      <c r="M352" s="90">
        <f>M353+M354+M355+M357+M356</f>
        <v>0</v>
      </c>
      <c r="N352" s="91"/>
      <c r="O352" s="32">
        <f t="shared" si="99"/>
        <v>0</v>
      </c>
      <c r="P352" s="32">
        <f t="shared" si="100"/>
        <v>0</v>
      </c>
      <c r="Q352" s="92"/>
      <c r="R352" s="92"/>
      <c r="IP352" s="94"/>
      <c r="IQ352" s="94"/>
      <c r="IR352" s="94"/>
      <c r="IS352" s="94"/>
      <c r="IT352" s="94"/>
    </row>
    <row r="353" spans="1:254" s="80" customFormat="1" ht="16.5" customHeight="1" hidden="1">
      <c r="A353" s="41" t="s">
        <v>37</v>
      </c>
      <c r="B353" s="88"/>
      <c r="C353" s="95">
        <v>0</v>
      </c>
      <c r="D353" s="95">
        <f>P348*0.13</f>
        <v>0</v>
      </c>
      <c r="E353" s="96"/>
      <c r="F353" s="32">
        <f t="shared" si="96"/>
        <v>0</v>
      </c>
      <c r="G353" s="95">
        <f>Q348*0.13</f>
        <v>0</v>
      </c>
      <c r="H353" s="96"/>
      <c r="I353" s="32">
        <f t="shared" si="97"/>
        <v>0</v>
      </c>
      <c r="J353" s="95">
        <f>R348*0.13</f>
        <v>0</v>
      </c>
      <c r="K353" s="96"/>
      <c r="L353" s="32">
        <f t="shared" si="98"/>
        <v>0</v>
      </c>
      <c r="M353" s="95">
        <f>U348*0.13</f>
        <v>0</v>
      </c>
      <c r="N353" s="96"/>
      <c r="O353" s="32">
        <f t="shared" si="99"/>
        <v>0</v>
      </c>
      <c r="P353" s="32">
        <f t="shared" si="100"/>
        <v>0</v>
      </c>
      <c r="Q353" s="89"/>
      <c r="R353" s="89"/>
      <c r="IP353" s="81"/>
      <c r="IQ353" s="81"/>
      <c r="IR353" s="81"/>
      <c r="IS353" s="81"/>
      <c r="IT353" s="81"/>
    </row>
    <row r="354" spans="1:254" s="80" customFormat="1" ht="16.5" customHeight="1" hidden="1">
      <c r="A354" s="41" t="s">
        <v>38</v>
      </c>
      <c r="B354" s="88"/>
      <c r="C354" s="95">
        <v>0</v>
      </c>
      <c r="D354" s="95">
        <f>P348*0.85</f>
        <v>0</v>
      </c>
      <c r="E354" s="96"/>
      <c r="F354" s="32">
        <f t="shared" si="96"/>
        <v>0</v>
      </c>
      <c r="G354" s="95">
        <f>Q348*0.85</f>
        <v>0</v>
      </c>
      <c r="H354" s="96"/>
      <c r="I354" s="32">
        <f t="shared" si="97"/>
        <v>0</v>
      </c>
      <c r="J354" s="95">
        <f>R348*0.85</f>
        <v>0</v>
      </c>
      <c r="K354" s="96"/>
      <c r="L354" s="32">
        <f t="shared" si="98"/>
        <v>0</v>
      </c>
      <c r="M354" s="95">
        <f>U348*0.85</f>
        <v>0</v>
      </c>
      <c r="N354" s="96"/>
      <c r="O354" s="32">
        <f t="shared" si="99"/>
        <v>0</v>
      </c>
      <c r="P354" s="32">
        <f t="shared" si="100"/>
        <v>0</v>
      </c>
      <c r="Q354" s="89"/>
      <c r="R354" s="89"/>
      <c r="IP354" s="81"/>
      <c r="IQ354" s="81"/>
      <c r="IR354" s="81"/>
      <c r="IS354" s="81"/>
      <c r="IT354" s="81"/>
    </row>
    <row r="355" spans="1:254" s="80" customFormat="1" ht="16.5" customHeight="1" hidden="1">
      <c r="A355" s="41" t="s">
        <v>39</v>
      </c>
      <c r="B355" s="88"/>
      <c r="C355" s="95">
        <v>0</v>
      </c>
      <c r="D355" s="95"/>
      <c r="E355" s="96"/>
      <c r="F355" s="32">
        <f t="shared" si="96"/>
        <v>0</v>
      </c>
      <c r="G355" s="95"/>
      <c r="H355" s="96"/>
      <c r="I355" s="32">
        <f t="shared" si="97"/>
        <v>0</v>
      </c>
      <c r="J355" s="95"/>
      <c r="K355" s="96"/>
      <c r="L355" s="32">
        <f t="shared" si="98"/>
        <v>0</v>
      </c>
      <c r="M355" s="95"/>
      <c r="N355" s="96"/>
      <c r="O355" s="32">
        <f t="shared" si="99"/>
        <v>0</v>
      </c>
      <c r="P355" s="32">
        <f t="shared" si="100"/>
        <v>0</v>
      </c>
      <c r="Q355" s="89"/>
      <c r="R355" s="89"/>
      <c r="IP355" s="81"/>
      <c r="IQ355" s="81"/>
      <c r="IR355" s="81"/>
      <c r="IS355" s="81"/>
      <c r="IT355" s="81"/>
    </row>
    <row r="356" spans="1:254" s="80" customFormat="1" ht="16.5" customHeight="1" hidden="1">
      <c r="A356" s="41" t="s">
        <v>49</v>
      </c>
      <c r="B356" s="88"/>
      <c r="C356" s="95">
        <v>0</v>
      </c>
      <c r="D356" s="95"/>
      <c r="E356" s="96"/>
      <c r="F356" s="32">
        <f t="shared" si="96"/>
        <v>0</v>
      </c>
      <c r="G356" s="95"/>
      <c r="H356" s="96"/>
      <c r="I356" s="32">
        <f t="shared" si="97"/>
        <v>0</v>
      </c>
      <c r="J356" s="95"/>
      <c r="K356" s="96"/>
      <c r="L356" s="32">
        <f t="shared" si="98"/>
        <v>0</v>
      </c>
      <c r="M356" s="95">
        <v>0</v>
      </c>
      <c r="N356" s="96"/>
      <c r="O356" s="32">
        <f t="shared" si="99"/>
        <v>0</v>
      </c>
      <c r="P356" s="32">
        <f t="shared" si="100"/>
        <v>0</v>
      </c>
      <c r="Q356" s="89"/>
      <c r="R356" s="89"/>
      <c r="IP356" s="81"/>
      <c r="IQ356" s="81"/>
      <c r="IR356" s="81"/>
      <c r="IS356" s="81"/>
      <c r="IT356" s="81"/>
    </row>
    <row r="357" spans="1:254" s="99" customFormat="1" ht="30" hidden="1">
      <c r="A357" s="52" t="s">
        <v>40</v>
      </c>
      <c r="B357" s="97"/>
      <c r="C357" s="95">
        <v>0</v>
      </c>
      <c r="D357" s="95">
        <v>0</v>
      </c>
      <c r="E357" s="96"/>
      <c r="F357" s="32">
        <f t="shared" si="96"/>
        <v>0</v>
      </c>
      <c r="G357" s="95">
        <f>G350</f>
        <v>0</v>
      </c>
      <c r="H357" s="96"/>
      <c r="I357" s="32">
        <f t="shared" si="97"/>
        <v>0</v>
      </c>
      <c r="J357" s="95">
        <f>R348*2/100+R350</f>
        <v>0</v>
      </c>
      <c r="K357" s="96"/>
      <c r="L357" s="32">
        <f t="shared" si="98"/>
        <v>0</v>
      </c>
      <c r="M357" s="95">
        <f>U348*2/100+U350</f>
        <v>0</v>
      </c>
      <c r="N357" s="96"/>
      <c r="O357" s="32">
        <f t="shared" si="99"/>
        <v>0</v>
      </c>
      <c r="P357" s="32">
        <f t="shared" si="100"/>
        <v>0</v>
      </c>
      <c r="Q357" s="98"/>
      <c r="R357" s="98"/>
      <c r="IP357" s="100"/>
      <c r="IQ357" s="100"/>
      <c r="IR357" s="100"/>
      <c r="IS357" s="100"/>
      <c r="IT357" s="100"/>
    </row>
    <row r="358" spans="1:254" s="99" customFormat="1" ht="14.25" customHeight="1">
      <c r="A358" s="121" t="s">
        <v>94</v>
      </c>
      <c r="B358" s="31" t="s">
        <v>96</v>
      </c>
      <c r="C358" s="44">
        <f>D358+G358+J358+M358</f>
        <v>451</v>
      </c>
      <c r="D358" s="116">
        <f>D359+D360+D361</f>
        <v>451</v>
      </c>
      <c r="E358" s="117">
        <f>E359+E360+E361</f>
        <v>0</v>
      </c>
      <c r="F358" s="32">
        <f t="shared" si="96"/>
        <v>451</v>
      </c>
      <c r="G358" s="116">
        <f>G359+G360+G361</f>
        <v>0</v>
      </c>
      <c r="H358" s="117"/>
      <c r="I358" s="32">
        <f t="shared" si="97"/>
        <v>0</v>
      </c>
      <c r="J358" s="116">
        <f>J359+J360+J361</f>
        <v>0</v>
      </c>
      <c r="K358" s="117"/>
      <c r="L358" s="32">
        <f t="shared" si="98"/>
        <v>0</v>
      </c>
      <c r="M358" s="116">
        <f>M359+M360+M361</f>
        <v>0</v>
      </c>
      <c r="N358" s="117"/>
      <c r="O358" s="32">
        <f t="shared" si="99"/>
        <v>0</v>
      </c>
      <c r="P358" s="32">
        <f t="shared" si="100"/>
        <v>451</v>
      </c>
      <c r="Q358" s="98"/>
      <c r="R358" s="98"/>
      <c r="IP358" s="100"/>
      <c r="IQ358" s="100"/>
      <c r="IR358" s="100"/>
      <c r="IS358" s="100"/>
      <c r="IT358" s="100"/>
    </row>
    <row r="359" spans="1:254" s="99" customFormat="1" ht="16.5" customHeight="1">
      <c r="A359" s="46" t="s">
        <v>34</v>
      </c>
      <c r="B359" s="47"/>
      <c r="C359" s="48">
        <f>D359+G359+J359+M359</f>
        <v>68</v>
      </c>
      <c r="D359" s="83">
        <v>68</v>
      </c>
      <c r="E359" s="84"/>
      <c r="F359" s="32">
        <f t="shared" si="96"/>
        <v>68</v>
      </c>
      <c r="G359" s="83">
        <v>0</v>
      </c>
      <c r="H359" s="84"/>
      <c r="I359" s="32">
        <f t="shared" si="97"/>
        <v>0</v>
      </c>
      <c r="J359" s="83">
        <v>0</v>
      </c>
      <c r="K359" s="84"/>
      <c r="L359" s="32">
        <f t="shared" si="98"/>
        <v>0</v>
      </c>
      <c r="M359" s="83">
        <v>0</v>
      </c>
      <c r="N359" s="84"/>
      <c r="O359" s="32">
        <f t="shared" si="99"/>
        <v>0</v>
      </c>
      <c r="P359" s="32">
        <f t="shared" si="100"/>
        <v>68</v>
      </c>
      <c r="Q359" s="98"/>
      <c r="R359" s="98"/>
      <c r="IP359" s="100"/>
      <c r="IQ359" s="100"/>
      <c r="IR359" s="100"/>
      <c r="IS359" s="100"/>
      <c r="IT359" s="100"/>
    </row>
    <row r="360" spans="1:254" s="99" customFormat="1" ht="16.5" customHeight="1">
      <c r="A360" s="41" t="s">
        <v>35</v>
      </c>
      <c r="B360" s="49"/>
      <c r="C360" s="48">
        <f>D360+G360+J360+M360</f>
        <v>383</v>
      </c>
      <c r="D360" s="83">
        <v>383</v>
      </c>
      <c r="E360" s="84"/>
      <c r="F360" s="32">
        <f t="shared" si="96"/>
        <v>383</v>
      </c>
      <c r="G360" s="83">
        <v>0</v>
      </c>
      <c r="H360" s="84"/>
      <c r="I360" s="32">
        <f t="shared" si="97"/>
        <v>0</v>
      </c>
      <c r="J360" s="83">
        <v>0</v>
      </c>
      <c r="K360" s="84"/>
      <c r="L360" s="32">
        <f t="shared" si="98"/>
        <v>0</v>
      </c>
      <c r="M360" s="83">
        <v>0</v>
      </c>
      <c r="N360" s="84"/>
      <c r="O360" s="32">
        <f t="shared" si="99"/>
        <v>0</v>
      </c>
      <c r="P360" s="32">
        <f t="shared" si="100"/>
        <v>383</v>
      </c>
      <c r="Q360" s="98"/>
      <c r="R360" s="98"/>
      <c r="IP360" s="100"/>
      <c r="IQ360" s="100"/>
      <c r="IR360" s="100"/>
      <c r="IS360" s="100"/>
      <c r="IT360" s="100"/>
    </row>
    <row r="361" spans="1:254" s="99" customFormat="1" ht="16.5" customHeight="1">
      <c r="A361" s="41" t="s">
        <v>36</v>
      </c>
      <c r="B361" s="50"/>
      <c r="C361" s="48">
        <f>D361+G361+J361+M361</f>
        <v>0</v>
      </c>
      <c r="D361" s="83">
        <v>0</v>
      </c>
      <c r="E361" s="84"/>
      <c r="F361" s="32">
        <f t="shared" si="96"/>
        <v>0</v>
      </c>
      <c r="G361" s="83">
        <v>0</v>
      </c>
      <c r="H361" s="84"/>
      <c r="I361" s="32">
        <f t="shared" si="97"/>
        <v>0</v>
      </c>
      <c r="J361" s="83">
        <v>0</v>
      </c>
      <c r="K361" s="84"/>
      <c r="L361" s="32">
        <f t="shared" si="98"/>
        <v>0</v>
      </c>
      <c r="M361" s="83">
        <v>0</v>
      </c>
      <c r="N361" s="84"/>
      <c r="O361" s="32">
        <f t="shared" si="99"/>
        <v>0</v>
      </c>
      <c r="P361" s="32">
        <f t="shared" si="100"/>
        <v>0</v>
      </c>
      <c r="Q361" s="98"/>
      <c r="R361" s="98"/>
      <c r="IP361" s="100"/>
      <c r="IQ361" s="100"/>
      <c r="IR361" s="100"/>
      <c r="IS361" s="100"/>
      <c r="IT361" s="100"/>
    </row>
    <row r="362" spans="1:254" s="99" customFormat="1" ht="16.5" customHeight="1" hidden="1">
      <c r="A362" s="41"/>
      <c r="B362" s="88"/>
      <c r="C362" s="83"/>
      <c r="D362" s="83"/>
      <c r="E362" s="84"/>
      <c r="F362" s="32">
        <f t="shared" si="96"/>
        <v>0</v>
      </c>
      <c r="G362" s="83"/>
      <c r="H362" s="84"/>
      <c r="I362" s="32">
        <f t="shared" si="97"/>
        <v>0</v>
      </c>
      <c r="J362" s="83"/>
      <c r="K362" s="84"/>
      <c r="L362" s="32">
        <f t="shared" si="98"/>
        <v>0</v>
      </c>
      <c r="M362" s="83"/>
      <c r="N362" s="84"/>
      <c r="O362" s="32">
        <f t="shared" si="99"/>
        <v>0</v>
      </c>
      <c r="P362" s="32">
        <f t="shared" si="100"/>
        <v>0</v>
      </c>
      <c r="Q362" s="98"/>
      <c r="R362" s="98"/>
      <c r="IP362" s="100"/>
      <c r="IQ362" s="100"/>
      <c r="IR362" s="100"/>
      <c r="IS362" s="100"/>
      <c r="IT362" s="100"/>
    </row>
    <row r="363" spans="1:254" s="99" customFormat="1" ht="16.5" customHeight="1" hidden="1">
      <c r="A363" s="42"/>
      <c r="B363" s="31"/>
      <c r="C363" s="116">
        <f>C365+C366+C367+C368</f>
        <v>451</v>
      </c>
      <c r="D363" s="116">
        <f>D365+D366+D367+D368</f>
        <v>451</v>
      </c>
      <c r="E363" s="117">
        <f>E365+E366+E367+E368</f>
        <v>0</v>
      </c>
      <c r="F363" s="32">
        <f t="shared" si="96"/>
        <v>451</v>
      </c>
      <c r="G363" s="116">
        <f>G365+G366+G367+G368</f>
        <v>0</v>
      </c>
      <c r="H363" s="117"/>
      <c r="I363" s="32">
        <f t="shared" si="97"/>
        <v>0</v>
      </c>
      <c r="J363" s="116">
        <f>J365+J366+J367+J368</f>
        <v>0</v>
      </c>
      <c r="K363" s="117"/>
      <c r="L363" s="32">
        <f t="shared" si="98"/>
        <v>0</v>
      </c>
      <c r="M363" s="116">
        <f>M365+M366+M367+M368</f>
        <v>0</v>
      </c>
      <c r="N363" s="117"/>
      <c r="O363" s="32">
        <f t="shared" si="99"/>
        <v>0</v>
      </c>
      <c r="P363" s="32">
        <f t="shared" si="100"/>
        <v>451</v>
      </c>
      <c r="Q363" s="98"/>
      <c r="R363" s="98"/>
      <c r="IP363" s="100"/>
      <c r="IQ363" s="100"/>
      <c r="IR363" s="100"/>
      <c r="IS363" s="100"/>
      <c r="IT363" s="100"/>
    </row>
    <row r="364" spans="1:254" s="99" customFormat="1" ht="16.5" customHeight="1" hidden="1">
      <c r="A364" s="41" t="s">
        <v>97</v>
      </c>
      <c r="B364" s="31"/>
      <c r="C364" s="44">
        <f>D364+G364+J364+M364</f>
        <v>6366</v>
      </c>
      <c r="D364" s="48">
        <v>0</v>
      </c>
      <c r="E364" s="56"/>
      <c r="F364" s="32">
        <f t="shared" si="96"/>
        <v>0</v>
      </c>
      <c r="G364" s="48">
        <v>6366</v>
      </c>
      <c r="H364" s="56">
        <v>-6366</v>
      </c>
      <c r="I364" s="32">
        <f t="shared" si="97"/>
        <v>0</v>
      </c>
      <c r="J364" s="48">
        <v>0</v>
      </c>
      <c r="K364" s="56"/>
      <c r="L364" s="32">
        <f t="shared" si="98"/>
        <v>0</v>
      </c>
      <c r="M364" s="48">
        <v>0</v>
      </c>
      <c r="N364" s="56"/>
      <c r="O364" s="32">
        <f t="shared" si="99"/>
        <v>0</v>
      </c>
      <c r="P364" s="32">
        <f t="shared" si="100"/>
        <v>0</v>
      </c>
      <c r="Q364" s="98"/>
      <c r="R364" s="98"/>
      <c r="IP364" s="100"/>
      <c r="IQ364" s="100"/>
      <c r="IR364" s="100"/>
      <c r="IS364" s="100"/>
      <c r="IT364" s="100"/>
    </row>
    <row r="365" spans="1:254" s="99" customFormat="1" ht="16.5" customHeight="1" hidden="1">
      <c r="A365" s="41" t="s">
        <v>37</v>
      </c>
      <c r="B365" s="88"/>
      <c r="C365" s="83">
        <f>D365+G365+J365+M365</f>
        <v>57</v>
      </c>
      <c r="D365" s="83">
        <v>57</v>
      </c>
      <c r="E365" s="84"/>
      <c r="F365" s="32">
        <f t="shared" si="96"/>
        <v>57</v>
      </c>
      <c r="G365" s="83">
        <v>0</v>
      </c>
      <c r="H365" s="84">
        <v>6366</v>
      </c>
      <c r="I365" s="32">
        <f t="shared" si="97"/>
        <v>6366</v>
      </c>
      <c r="J365" s="83">
        <v>0</v>
      </c>
      <c r="K365" s="84"/>
      <c r="L365" s="32">
        <f t="shared" si="98"/>
        <v>0</v>
      </c>
      <c r="M365" s="83">
        <v>0</v>
      </c>
      <c r="N365" s="84"/>
      <c r="O365" s="32">
        <f t="shared" si="99"/>
        <v>0</v>
      </c>
      <c r="P365" s="32">
        <f t="shared" si="100"/>
        <v>6423</v>
      </c>
      <c r="Q365" s="98"/>
      <c r="R365" s="98"/>
      <c r="IP365" s="100"/>
      <c r="IQ365" s="100"/>
      <c r="IR365" s="100"/>
      <c r="IS365" s="100"/>
      <c r="IT365" s="100"/>
    </row>
    <row r="366" spans="1:254" s="99" customFormat="1" ht="16.5" customHeight="1" hidden="1">
      <c r="A366" s="41" t="s">
        <v>38</v>
      </c>
      <c r="B366" s="88"/>
      <c r="C366" s="83">
        <v>383</v>
      </c>
      <c r="D366" s="83">
        <v>383</v>
      </c>
      <c r="E366" s="84"/>
      <c r="F366" s="32">
        <f t="shared" si="96"/>
        <v>383</v>
      </c>
      <c r="G366" s="83">
        <v>0</v>
      </c>
      <c r="H366" s="84"/>
      <c r="I366" s="32">
        <f t="shared" si="97"/>
        <v>0</v>
      </c>
      <c r="J366" s="83">
        <v>0</v>
      </c>
      <c r="K366" s="84"/>
      <c r="L366" s="32">
        <f t="shared" si="98"/>
        <v>0</v>
      </c>
      <c r="M366" s="83">
        <v>0</v>
      </c>
      <c r="N366" s="84"/>
      <c r="O366" s="32">
        <f t="shared" si="99"/>
        <v>0</v>
      </c>
      <c r="P366" s="32">
        <f t="shared" si="100"/>
        <v>383</v>
      </c>
      <c r="Q366" s="98"/>
      <c r="R366" s="98"/>
      <c r="IP366" s="100"/>
      <c r="IQ366" s="100"/>
      <c r="IR366" s="100"/>
      <c r="IS366" s="100"/>
      <c r="IT366" s="100"/>
    </row>
    <row r="367" spans="1:254" s="99" customFormat="1" ht="16.5" customHeight="1" hidden="1">
      <c r="A367" s="41" t="s">
        <v>39</v>
      </c>
      <c r="B367" s="88"/>
      <c r="C367" s="83"/>
      <c r="D367" s="83">
        <v>0</v>
      </c>
      <c r="E367" s="84"/>
      <c r="F367" s="32">
        <f t="shared" si="96"/>
        <v>0</v>
      </c>
      <c r="G367" s="83">
        <v>0</v>
      </c>
      <c r="H367" s="84"/>
      <c r="I367" s="32">
        <f t="shared" si="97"/>
        <v>0</v>
      </c>
      <c r="J367" s="83">
        <v>0</v>
      </c>
      <c r="K367" s="84"/>
      <c r="L367" s="32">
        <f t="shared" si="98"/>
        <v>0</v>
      </c>
      <c r="M367" s="83">
        <v>0</v>
      </c>
      <c r="N367" s="84"/>
      <c r="O367" s="32">
        <f t="shared" si="99"/>
        <v>0</v>
      </c>
      <c r="P367" s="32">
        <f t="shared" si="100"/>
        <v>0</v>
      </c>
      <c r="Q367" s="98"/>
      <c r="R367" s="98"/>
      <c r="IP367" s="100"/>
      <c r="IQ367" s="100"/>
      <c r="IR367" s="100"/>
      <c r="IS367" s="100"/>
      <c r="IT367" s="100"/>
    </row>
    <row r="368" spans="1:254" s="99" customFormat="1" ht="26.25" customHeight="1" hidden="1">
      <c r="A368" s="52" t="s">
        <v>40</v>
      </c>
      <c r="B368" s="97"/>
      <c r="C368" s="83">
        <v>11</v>
      </c>
      <c r="D368" s="95">
        <v>11</v>
      </c>
      <c r="E368" s="96"/>
      <c r="F368" s="32">
        <f t="shared" si="96"/>
        <v>11</v>
      </c>
      <c r="G368" s="95">
        <v>0</v>
      </c>
      <c r="H368" s="96"/>
      <c r="I368" s="32">
        <f t="shared" si="97"/>
        <v>0</v>
      </c>
      <c r="J368" s="95">
        <v>0</v>
      </c>
      <c r="K368" s="96"/>
      <c r="L368" s="32">
        <f t="shared" si="98"/>
        <v>0</v>
      </c>
      <c r="M368" s="95">
        <v>0</v>
      </c>
      <c r="N368" s="96"/>
      <c r="O368" s="32">
        <f t="shared" si="99"/>
        <v>0</v>
      </c>
      <c r="P368" s="32">
        <f t="shared" si="100"/>
        <v>11</v>
      </c>
      <c r="Q368" s="98"/>
      <c r="R368" s="98"/>
      <c r="IP368" s="100"/>
      <c r="IQ368" s="100"/>
      <c r="IR368" s="100"/>
      <c r="IS368" s="100"/>
      <c r="IT368" s="100"/>
    </row>
    <row r="369" spans="1:254" s="93" customFormat="1" ht="16.5" customHeight="1">
      <c r="A369" s="177" t="s">
        <v>98</v>
      </c>
      <c r="B369" s="177"/>
      <c r="C369" s="32">
        <f>C358</f>
        <v>451</v>
      </c>
      <c r="D369" s="32">
        <f>D358</f>
        <v>451</v>
      </c>
      <c r="E369" s="33"/>
      <c r="F369" s="32">
        <f t="shared" si="96"/>
        <v>451</v>
      </c>
      <c r="G369" s="32"/>
      <c r="H369" s="33"/>
      <c r="I369" s="32">
        <f t="shared" si="97"/>
        <v>0</v>
      </c>
      <c r="J369" s="32">
        <f>J358</f>
        <v>0</v>
      </c>
      <c r="K369" s="33"/>
      <c r="L369" s="32">
        <f t="shared" si="98"/>
        <v>0</v>
      </c>
      <c r="M369" s="32">
        <f>M358</f>
        <v>0</v>
      </c>
      <c r="N369" s="33"/>
      <c r="O369" s="32">
        <f t="shared" si="99"/>
        <v>0</v>
      </c>
      <c r="P369" s="32">
        <f t="shared" si="100"/>
        <v>451</v>
      </c>
      <c r="Q369" s="92"/>
      <c r="R369" s="92"/>
      <c r="IP369" s="94"/>
      <c r="IQ369" s="94"/>
      <c r="IR369" s="94"/>
      <c r="IS369" s="94"/>
      <c r="IT369" s="94"/>
    </row>
    <row r="370" spans="1:254" s="80" customFormat="1" ht="16.5" customHeight="1">
      <c r="A370" s="179" t="s">
        <v>99</v>
      </c>
      <c r="B370" s="179"/>
      <c r="C370" s="179"/>
      <c r="D370" s="48"/>
      <c r="E370" s="56"/>
      <c r="F370" s="32">
        <f t="shared" si="96"/>
        <v>0</v>
      </c>
      <c r="G370" s="48"/>
      <c r="H370" s="56"/>
      <c r="I370" s="32">
        <f t="shared" si="97"/>
        <v>0</v>
      </c>
      <c r="J370" s="48"/>
      <c r="K370" s="56"/>
      <c r="L370" s="32">
        <f t="shared" si="98"/>
        <v>0</v>
      </c>
      <c r="M370" s="125"/>
      <c r="N370" s="126"/>
      <c r="O370" s="32">
        <f t="shared" si="99"/>
        <v>0</v>
      </c>
      <c r="P370" s="32">
        <f t="shared" si="100"/>
        <v>0</v>
      </c>
      <c r="Q370" s="89"/>
      <c r="R370" s="89"/>
      <c r="IP370" s="81"/>
      <c r="IQ370" s="81"/>
      <c r="IR370" s="81"/>
      <c r="IS370" s="81"/>
      <c r="IT370" s="81"/>
    </row>
    <row r="371" spans="1:254" s="80" customFormat="1" ht="30" customHeight="1">
      <c r="A371" s="78" t="s">
        <v>100</v>
      </c>
      <c r="B371" s="25" t="s">
        <v>101</v>
      </c>
      <c r="C371" s="44">
        <f>D371+G371+J371+M371</f>
        <v>6754</v>
      </c>
      <c r="D371" s="44">
        <f>D372+D373+D374</f>
        <v>2351</v>
      </c>
      <c r="E371" s="45"/>
      <c r="F371" s="32">
        <f t="shared" si="96"/>
        <v>2351</v>
      </c>
      <c r="G371" s="44">
        <f>G372+G373+G374</f>
        <v>1845</v>
      </c>
      <c r="H371" s="45"/>
      <c r="I371" s="32">
        <f t="shared" si="97"/>
        <v>1845</v>
      </c>
      <c r="J371" s="44">
        <f>J372+J373+J374</f>
        <v>2558</v>
      </c>
      <c r="K371" s="45"/>
      <c r="L371" s="32">
        <f t="shared" si="98"/>
        <v>2558</v>
      </c>
      <c r="M371" s="44">
        <f>M372+M373+M374</f>
        <v>0</v>
      </c>
      <c r="N371" s="45"/>
      <c r="O371" s="32">
        <f t="shared" si="99"/>
        <v>0</v>
      </c>
      <c r="P371" s="32">
        <f t="shared" si="100"/>
        <v>6754</v>
      </c>
      <c r="Q371" s="89"/>
      <c r="R371" s="89"/>
      <c r="IP371" s="81"/>
      <c r="IQ371" s="81"/>
      <c r="IR371" s="81"/>
      <c r="IS371" s="81"/>
      <c r="IT371" s="81"/>
    </row>
    <row r="372" spans="1:254" s="80" customFormat="1" ht="16.5" customHeight="1">
      <c r="A372" s="46" t="s">
        <v>34</v>
      </c>
      <c r="B372" s="82"/>
      <c r="C372" s="83">
        <f>D372+G372+J372+M372</f>
        <v>917</v>
      </c>
      <c r="D372" s="83">
        <v>353</v>
      </c>
      <c r="E372" s="84"/>
      <c r="F372" s="32">
        <f t="shared" si="96"/>
        <v>353</v>
      </c>
      <c r="G372" s="83">
        <v>247</v>
      </c>
      <c r="H372" s="84"/>
      <c r="I372" s="32">
        <f t="shared" si="97"/>
        <v>247</v>
      </c>
      <c r="J372" s="83">
        <v>317</v>
      </c>
      <c r="K372" s="84"/>
      <c r="L372" s="32">
        <f t="shared" si="98"/>
        <v>317</v>
      </c>
      <c r="M372" s="83">
        <v>0</v>
      </c>
      <c r="N372" s="84"/>
      <c r="O372" s="32">
        <f t="shared" si="99"/>
        <v>0</v>
      </c>
      <c r="P372" s="32">
        <f t="shared" si="100"/>
        <v>917</v>
      </c>
      <c r="Q372" s="89"/>
      <c r="R372" s="89"/>
      <c r="IP372" s="81"/>
      <c r="IQ372" s="81"/>
      <c r="IR372" s="81"/>
      <c r="IS372" s="81"/>
      <c r="IT372" s="81"/>
    </row>
    <row r="373" spans="1:254" s="80" customFormat="1" ht="16.5" customHeight="1">
      <c r="A373" s="41" t="s">
        <v>35</v>
      </c>
      <c r="B373" s="86"/>
      <c r="C373" s="83">
        <f>D373+G373+J373+M373</f>
        <v>5191</v>
      </c>
      <c r="D373" s="83">
        <v>1998</v>
      </c>
      <c r="E373" s="84"/>
      <c r="F373" s="32">
        <f t="shared" si="96"/>
        <v>1998</v>
      </c>
      <c r="G373" s="83">
        <v>1398</v>
      </c>
      <c r="H373" s="84"/>
      <c r="I373" s="32">
        <f t="shared" si="97"/>
        <v>1398</v>
      </c>
      <c r="J373" s="83">
        <v>1795</v>
      </c>
      <c r="K373" s="84"/>
      <c r="L373" s="32">
        <f t="shared" si="98"/>
        <v>1795</v>
      </c>
      <c r="M373" s="83">
        <v>0</v>
      </c>
      <c r="N373" s="84"/>
      <c r="O373" s="32">
        <f t="shared" si="99"/>
        <v>0</v>
      </c>
      <c r="P373" s="32">
        <f t="shared" si="100"/>
        <v>5191</v>
      </c>
      <c r="Q373" s="89"/>
      <c r="R373" s="89"/>
      <c r="IP373" s="81"/>
      <c r="IQ373" s="81"/>
      <c r="IR373" s="81"/>
      <c r="IS373" s="81"/>
      <c r="IT373" s="81"/>
    </row>
    <row r="374" spans="1:254" s="80" customFormat="1" ht="16.5" customHeight="1">
      <c r="A374" s="41" t="s">
        <v>36</v>
      </c>
      <c r="B374" s="86"/>
      <c r="C374" s="83">
        <f>D374+G374+J374+M374</f>
        <v>646</v>
      </c>
      <c r="D374" s="83">
        <v>0</v>
      </c>
      <c r="E374" s="84"/>
      <c r="F374" s="32">
        <f t="shared" si="96"/>
        <v>0</v>
      </c>
      <c r="G374" s="83">
        <v>200</v>
      </c>
      <c r="H374" s="84"/>
      <c r="I374" s="32">
        <f t="shared" si="97"/>
        <v>200</v>
      </c>
      <c r="J374" s="83">
        <v>446</v>
      </c>
      <c r="K374" s="84"/>
      <c r="L374" s="32">
        <f t="shared" si="98"/>
        <v>446</v>
      </c>
      <c r="M374" s="83">
        <v>0</v>
      </c>
      <c r="N374" s="84"/>
      <c r="O374" s="32">
        <f t="shared" si="99"/>
        <v>0</v>
      </c>
      <c r="P374" s="32">
        <f t="shared" si="100"/>
        <v>646</v>
      </c>
      <c r="Q374" s="89"/>
      <c r="R374" s="89"/>
      <c r="IP374" s="81"/>
      <c r="IQ374" s="81"/>
      <c r="IR374" s="81"/>
      <c r="IS374" s="81"/>
      <c r="IT374" s="81"/>
    </row>
    <row r="375" spans="1:254" s="80" customFormat="1" ht="16.5" customHeight="1" hidden="1">
      <c r="A375" s="41"/>
      <c r="B375" s="86"/>
      <c r="C375" s="83"/>
      <c r="D375" s="83"/>
      <c r="E375" s="84"/>
      <c r="F375" s="32">
        <f t="shared" si="96"/>
        <v>0</v>
      </c>
      <c r="G375" s="83"/>
      <c r="H375" s="84"/>
      <c r="I375" s="32">
        <f t="shared" si="97"/>
        <v>0</v>
      </c>
      <c r="J375" s="83"/>
      <c r="K375" s="84"/>
      <c r="L375" s="32">
        <f t="shared" si="98"/>
        <v>0</v>
      </c>
      <c r="M375" s="83"/>
      <c r="N375" s="84"/>
      <c r="O375" s="32">
        <f t="shared" si="99"/>
        <v>0</v>
      </c>
      <c r="P375" s="32">
        <f t="shared" si="100"/>
        <v>0</v>
      </c>
      <c r="Q375" s="89"/>
      <c r="R375" s="89"/>
      <c r="IP375" s="81"/>
      <c r="IQ375" s="81"/>
      <c r="IR375" s="81"/>
      <c r="IS375" s="81"/>
      <c r="IT375" s="81"/>
    </row>
    <row r="376" spans="1:254" s="93" customFormat="1" ht="16.5" customHeight="1" hidden="1">
      <c r="A376" s="42"/>
      <c r="B376" s="87"/>
      <c r="C376" s="116">
        <f>C377+C378+C379+C380</f>
        <v>6574</v>
      </c>
      <c r="D376" s="116">
        <f>D377+D378+D379+D380</f>
        <v>2171</v>
      </c>
      <c r="E376" s="117"/>
      <c r="F376" s="32">
        <f t="shared" si="96"/>
        <v>2171</v>
      </c>
      <c r="G376" s="116">
        <f>G377+G378+G379+G380</f>
        <v>1845</v>
      </c>
      <c r="H376" s="117"/>
      <c r="I376" s="32">
        <f t="shared" si="97"/>
        <v>1845</v>
      </c>
      <c r="J376" s="116">
        <f>J377+J378+J379+J380</f>
        <v>2558</v>
      </c>
      <c r="K376" s="117"/>
      <c r="L376" s="32">
        <f t="shared" si="98"/>
        <v>2558</v>
      </c>
      <c r="M376" s="116">
        <f>M377+M378+M379+M380</f>
        <v>0</v>
      </c>
      <c r="N376" s="117"/>
      <c r="O376" s="32">
        <f t="shared" si="99"/>
        <v>0</v>
      </c>
      <c r="P376" s="32">
        <f t="shared" si="100"/>
        <v>6574</v>
      </c>
      <c r="Q376" s="92"/>
      <c r="R376" s="92"/>
      <c r="IP376" s="94"/>
      <c r="IQ376" s="94"/>
      <c r="IR376" s="94"/>
      <c r="IS376" s="94"/>
      <c r="IT376" s="94"/>
    </row>
    <row r="377" spans="1:254" s="80" customFormat="1" ht="16.5" customHeight="1" hidden="1">
      <c r="A377" s="41" t="s">
        <v>37</v>
      </c>
      <c r="B377" s="88"/>
      <c r="C377" s="83">
        <v>795</v>
      </c>
      <c r="D377" s="83">
        <v>306</v>
      </c>
      <c r="E377" s="84"/>
      <c r="F377" s="32">
        <f t="shared" si="96"/>
        <v>306</v>
      </c>
      <c r="G377" s="83">
        <v>214</v>
      </c>
      <c r="H377" s="84"/>
      <c r="I377" s="32">
        <f t="shared" si="97"/>
        <v>214</v>
      </c>
      <c r="J377" s="83">
        <v>275</v>
      </c>
      <c r="K377" s="84"/>
      <c r="L377" s="32">
        <f t="shared" si="98"/>
        <v>275</v>
      </c>
      <c r="M377" s="83">
        <v>0</v>
      </c>
      <c r="N377" s="84"/>
      <c r="O377" s="32">
        <f t="shared" si="99"/>
        <v>0</v>
      </c>
      <c r="P377" s="32">
        <f t="shared" si="100"/>
        <v>795</v>
      </c>
      <c r="Q377" s="89"/>
      <c r="R377" s="89"/>
      <c r="IP377" s="81"/>
      <c r="IQ377" s="81"/>
      <c r="IR377" s="81"/>
      <c r="IS377" s="81"/>
      <c r="IT377" s="81"/>
    </row>
    <row r="378" spans="1:254" s="80" customFormat="1" ht="16.5" customHeight="1" hidden="1">
      <c r="A378" s="41" t="s">
        <v>38</v>
      </c>
      <c r="B378" s="88"/>
      <c r="C378" s="83">
        <v>5011</v>
      </c>
      <c r="D378" s="83">
        <f>1998-180</f>
        <v>1818</v>
      </c>
      <c r="E378" s="84"/>
      <c r="F378" s="32">
        <f aca="true" t="shared" si="101" ref="F378:F409">D378+E378</f>
        <v>1818</v>
      </c>
      <c r="G378" s="83">
        <v>1398</v>
      </c>
      <c r="H378" s="84"/>
      <c r="I378" s="32">
        <f aca="true" t="shared" si="102" ref="I378:I409">G378+H378</f>
        <v>1398</v>
      </c>
      <c r="J378" s="83">
        <v>1795</v>
      </c>
      <c r="K378" s="84"/>
      <c r="L378" s="32">
        <f aca="true" t="shared" si="103" ref="L378:L409">J378+K378</f>
        <v>1795</v>
      </c>
      <c r="M378" s="83">
        <v>0</v>
      </c>
      <c r="N378" s="84"/>
      <c r="O378" s="32">
        <f aca="true" t="shared" si="104" ref="O378:O409">M378+N378</f>
        <v>0</v>
      </c>
      <c r="P378" s="32">
        <f aca="true" t="shared" si="105" ref="P378:P409">F378+I378+L378+O378</f>
        <v>5011</v>
      </c>
      <c r="Q378" s="89"/>
      <c r="R378" s="89"/>
      <c r="IP378" s="81"/>
      <c r="IQ378" s="81"/>
      <c r="IR378" s="81"/>
      <c r="IS378" s="81"/>
      <c r="IT378" s="81"/>
    </row>
    <row r="379" spans="1:254" s="80" customFormat="1" ht="16.5" customHeight="1" hidden="1">
      <c r="A379" s="41" t="s">
        <v>39</v>
      </c>
      <c r="B379" s="88"/>
      <c r="C379" s="83">
        <f>SUM(D379:J379)</f>
        <v>0</v>
      </c>
      <c r="D379" s="83">
        <v>0</v>
      </c>
      <c r="E379" s="84"/>
      <c r="F379" s="32">
        <f t="shared" si="101"/>
        <v>0</v>
      </c>
      <c r="G379" s="83">
        <v>0</v>
      </c>
      <c r="H379" s="84"/>
      <c r="I379" s="32">
        <f t="shared" si="102"/>
        <v>0</v>
      </c>
      <c r="J379" s="83">
        <v>0</v>
      </c>
      <c r="K379" s="84"/>
      <c r="L379" s="32">
        <f t="shared" si="103"/>
        <v>0</v>
      </c>
      <c r="M379" s="83">
        <v>0</v>
      </c>
      <c r="N379" s="84"/>
      <c r="O379" s="32">
        <f t="shared" si="104"/>
        <v>0</v>
      </c>
      <c r="P379" s="32">
        <f t="shared" si="105"/>
        <v>0</v>
      </c>
      <c r="Q379" s="89"/>
      <c r="R379" s="89"/>
      <c r="IP379" s="81"/>
      <c r="IQ379" s="81"/>
      <c r="IR379" s="81"/>
      <c r="IS379" s="81"/>
      <c r="IT379" s="81"/>
    </row>
    <row r="380" spans="1:254" s="99" customFormat="1" ht="30" hidden="1">
      <c r="A380" s="52" t="s">
        <v>40</v>
      </c>
      <c r="B380" s="97"/>
      <c r="C380" s="83">
        <v>768</v>
      </c>
      <c r="D380" s="123">
        <v>47</v>
      </c>
      <c r="E380" s="124"/>
      <c r="F380" s="32">
        <f t="shared" si="101"/>
        <v>47</v>
      </c>
      <c r="G380" s="83">
        <v>233</v>
      </c>
      <c r="H380" s="84"/>
      <c r="I380" s="32">
        <f t="shared" si="102"/>
        <v>233</v>
      </c>
      <c r="J380" s="83">
        <v>488</v>
      </c>
      <c r="K380" s="84"/>
      <c r="L380" s="32">
        <f t="shared" si="103"/>
        <v>488</v>
      </c>
      <c r="M380" s="83">
        <v>0</v>
      </c>
      <c r="N380" s="84"/>
      <c r="O380" s="32">
        <f t="shared" si="104"/>
        <v>0</v>
      </c>
      <c r="P380" s="32">
        <f t="shared" si="105"/>
        <v>768</v>
      </c>
      <c r="Q380" s="98"/>
      <c r="R380" s="98"/>
      <c r="IP380" s="100"/>
      <c r="IQ380" s="100"/>
      <c r="IR380" s="100"/>
      <c r="IS380" s="100"/>
      <c r="IT380" s="100"/>
    </row>
    <row r="381" spans="1:254" s="80" customFormat="1" ht="16.5" customHeight="1" hidden="1">
      <c r="A381" s="41"/>
      <c r="B381" s="88"/>
      <c r="C381" s="36"/>
      <c r="D381" s="36"/>
      <c r="E381" s="37"/>
      <c r="F381" s="32">
        <f t="shared" si="101"/>
        <v>0</v>
      </c>
      <c r="G381" s="36"/>
      <c r="H381" s="37"/>
      <c r="I381" s="32">
        <f t="shared" si="102"/>
        <v>0</v>
      </c>
      <c r="J381" s="48"/>
      <c r="K381" s="56"/>
      <c r="L381" s="32">
        <f t="shared" si="103"/>
        <v>0</v>
      </c>
      <c r="M381" s="125"/>
      <c r="N381" s="126"/>
      <c r="O381" s="32">
        <f t="shared" si="104"/>
        <v>0</v>
      </c>
      <c r="P381" s="32">
        <f t="shared" si="105"/>
        <v>0</v>
      </c>
      <c r="Q381" s="89"/>
      <c r="R381" s="89"/>
      <c r="IP381" s="81"/>
      <c r="IQ381" s="81"/>
      <c r="IR381" s="81"/>
      <c r="IS381" s="81"/>
      <c r="IT381" s="81"/>
    </row>
    <row r="382" spans="1:254" s="80" customFormat="1" ht="28.5" customHeight="1">
      <c r="A382" s="78" t="s">
        <v>100</v>
      </c>
      <c r="B382" s="31" t="s">
        <v>102</v>
      </c>
      <c r="C382" s="32">
        <f>C383+C393</f>
        <v>9235</v>
      </c>
      <c r="D382" s="32">
        <f>D383+D393</f>
        <v>2643</v>
      </c>
      <c r="E382" s="33"/>
      <c r="F382" s="32">
        <f t="shared" si="101"/>
        <v>2643</v>
      </c>
      <c r="G382" s="32">
        <f>G383+G393</f>
        <v>0</v>
      </c>
      <c r="H382" s="33"/>
      <c r="I382" s="32">
        <f t="shared" si="102"/>
        <v>0</v>
      </c>
      <c r="J382" s="32">
        <f>J383+J393</f>
        <v>6592</v>
      </c>
      <c r="K382" s="33"/>
      <c r="L382" s="32">
        <f t="shared" si="103"/>
        <v>6592</v>
      </c>
      <c r="M382" s="32">
        <f>M383+M393</f>
        <v>0</v>
      </c>
      <c r="N382" s="33"/>
      <c r="O382" s="32">
        <f t="shared" si="104"/>
        <v>0</v>
      </c>
      <c r="P382" s="32">
        <f t="shared" si="105"/>
        <v>9235</v>
      </c>
      <c r="Q382" s="89"/>
      <c r="R382" s="89"/>
      <c r="IP382" s="81"/>
      <c r="IQ382" s="81"/>
      <c r="IR382" s="81"/>
      <c r="IS382" s="81"/>
      <c r="IT382" s="81"/>
    </row>
    <row r="383" spans="1:254" s="80" customFormat="1" ht="15.75" customHeight="1">
      <c r="A383" s="78"/>
      <c r="B383" s="31"/>
      <c r="C383" s="32">
        <f>C384+C385+C386</f>
        <v>2643</v>
      </c>
      <c r="D383" s="32">
        <f>D384+D385+D386</f>
        <v>2643</v>
      </c>
      <c r="E383" s="33"/>
      <c r="F383" s="32">
        <f t="shared" si="101"/>
        <v>2643</v>
      </c>
      <c r="G383" s="32">
        <f>G384+G385+G386</f>
        <v>0</v>
      </c>
      <c r="H383" s="33"/>
      <c r="I383" s="32">
        <f t="shared" si="102"/>
        <v>0</v>
      </c>
      <c r="J383" s="32">
        <f>J384+J385+J386</f>
        <v>0</v>
      </c>
      <c r="K383" s="33"/>
      <c r="L383" s="32">
        <f t="shared" si="103"/>
        <v>0</v>
      </c>
      <c r="M383" s="32">
        <f>M384+M385+M386</f>
        <v>0</v>
      </c>
      <c r="N383" s="33"/>
      <c r="O383" s="32">
        <f t="shared" si="104"/>
        <v>0</v>
      </c>
      <c r="P383" s="32">
        <f t="shared" si="105"/>
        <v>2643</v>
      </c>
      <c r="Q383" s="89"/>
      <c r="R383" s="89"/>
      <c r="IP383" s="81"/>
      <c r="IQ383" s="81"/>
      <c r="IR383" s="81"/>
      <c r="IS383" s="81"/>
      <c r="IT383" s="81"/>
    </row>
    <row r="384" spans="1:254" s="80" customFormat="1" ht="17.25" customHeight="1">
      <c r="A384" s="46" t="s">
        <v>58</v>
      </c>
      <c r="B384" s="35" t="s">
        <v>22</v>
      </c>
      <c r="C384" s="36">
        <f>D384+G384+J384+M384</f>
        <v>2221</v>
      </c>
      <c r="D384" s="36">
        <v>2221</v>
      </c>
      <c r="E384" s="37"/>
      <c r="F384" s="32">
        <f t="shared" si="101"/>
        <v>2221</v>
      </c>
      <c r="G384" s="36">
        <v>0</v>
      </c>
      <c r="H384" s="37"/>
      <c r="I384" s="32">
        <f t="shared" si="102"/>
        <v>0</v>
      </c>
      <c r="J384" s="48">
        <v>0</v>
      </c>
      <c r="K384" s="56"/>
      <c r="L384" s="32">
        <f t="shared" si="103"/>
        <v>0</v>
      </c>
      <c r="M384" s="125">
        <v>0</v>
      </c>
      <c r="N384" s="126"/>
      <c r="O384" s="32">
        <f t="shared" si="104"/>
        <v>0</v>
      </c>
      <c r="P384" s="32">
        <f t="shared" si="105"/>
        <v>2221</v>
      </c>
      <c r="Q384" s="89"/>
      <c r="R384" s="89"/>
      <c r="IP384" s="81"/>
      <c r="IQ384" s="81"/>
      <c r="IR384" s="81"/>
      <c r="IS384" s="81"/>
      <c r="IT384" s="81"/>
    </row>
    <row r="385" spans="1:254" s="80" customFormat="1" ht="16.5" customHeight="1">
      <c r="A385" s="46" t="s">
        <v>59</v>
      </c>
      <c r="B385" s="35" t="s">
        <v>24</v>
      </c>
      <c r="C385" s="36">
        <f>D385+G385+J385+M385</f>
        <v>0</v>
      </c>
      <c r="D385" s="36">
        <v>0</v>
      </c>
      <c r="E385" s="37"/>
      <c r="F385" s="32">
        <f t="shared" si="101"/>
        <v>0</v>
      </c>
      <c r="G385" s="36">
        <v>0</v>
      </c>
      <c r="H385" s="37"/>
      <c r="I385" s="32">
        <f t="shared" si="102"/>
        <v>0</v>
      </c>
      <c r="J385" s="48">
        <v>0</v>
      </c>
      <c r="K385" s="56"/>
      <c r="L385" s="32">
        <f t="shared" si="103"/>
        <v>0</v>
      </c>
      <c r="M385" s="125">
        <v>0</v>
      </c>
      <c r="N385" s="126"/>
      <c r="O385" s="32">
        <f t="shared" si="104"/>
        <v>0</v>
      </c>
      <c r="P385" s="32">
        <f t="shared" si="105"/>
        <v>0</v>
      </c>
      <c r="Q385" s="89"/>
      <c r="R385" s="89"/>
      <c r="IP385" s="81"/>
      <c r="IQ385" s="81"/>
      <c r="IR385" s="81"/>
      <c r="IS385" s="81"/>
      <c r="IT385" s="81"/>
    </row>
    <row r="386" spans="1:254" s="80" customFormat="1" ht="15" customHeight="1">
      <c r="A386" s="41" t="s">
        <v>60</v>
      </c>
      <c r="B386" s="35" t="s">
        <v>26</v>
      </c>
      <c r="C386" s="36">
        <f>D386+G386+J386+M386</f>
        <v>422</v>
      </c>
      <c r="D386" s="36">
        <v>422</v>
      </c>
      <c r="E386" s="37"/>
      <c r="F386" s="32">
        <f t="shared" si="101"/>
        <v>422</v>
      </c>
      <c r="G386" s="36">
        <v>0</v>
      </c>
      <c r="H386" s="37"/>
      <c r="I386" s="32">
        <f t="shared" si="102"/>
        <v>0</v>
      </c>
      <c r="J386" s="48">
        <v>0</v>
      </c>
      <c r="K386" s="56"/>
      <c r="L386" s="32">
        <f t="shared" si="103"/>
        <v>0</v>
      </c>
      <c r="M386" s="125">
        <v>0</v>
      </c>
      <c r="N386" s="126"/>
      <c r="O386" s="32">
        <f t="shared" si="104"/>
        <v>0</v>
      </c>
      <c r="P386" s="32">
        <f t="shared" si="105"/>
        <v>422</v>
      </c>
      <c r="Q386" s="89"/>
      <c r="R386" s="89"/>
      <c r="IP386" s="81"/>
      <c r="IQ386" s="81"/>
      <c r="IR386" s="81"/>
      <c r="IS386" s="81"/>
      <c r="IT386" s="81"/>
    </row>
    <row r="387" spans="1:254" s="80" customFormat="1" ht="16.5" customHeight="1" hidden="1">
      <c r="A387" s="41"/>
      <c r="B387" s="88"/>
      <c r="C387" s="36"/>
      <c r="D387" s="36"/>
      <c r="E387" s="37"/>
      <c r="F387" s="32">
        <f t="shared" si="101"/>
        <v>0</v>
      </c>
      <c r="G387" s="36"/>
      <c r="H387" s="37"/>
      <c r="I387" s="32">
        <f t="shared" si="102"/>
        <v>0</v>
      </c>
      <c r="J387" s="48"/>
      <c r="K387" s="56"/>
      <c r="L387" s="32">
        <f t="shared" si="103"/>
        <v>0</v>
      </c>
      <c r="M387" s="125"/>
      <c r="N387" s="126"/>
      <c r="O387" s="32">
        <f t="shared" si="104"/>
        <v>0</v>
      </c>
      <c r="P387" s="32">
        <f t="shared" si="105"/>
        <v>0</v>
      </c>
      <c r="Q387" s="89"/>
      <c r="R387" s="89"/>
      <c r="IP387" s="81"/>
      <c r="IQ387" s="81"/>
      <c r="IR387" s="81"/>
      <c r="IS387" s="81"/>
      <c r="IT387" s="81"/>
    </row>
    <row r="388" spans="1:254" s="80" customFormat="1" ht="15" customHeight="1" hidden="1">
      <c r="A388" s="42"/>
      <c r="B388" s="88" t="s">
        <v>51</v>
      </c>
      <c r="C388" s="32">
        <f>C389+C390+C391</f>
        <v>2643</v>
      </c>
      <c r="D388" s="32">
        <f>D389+D390+D391</f>
        <v>2643</v>
      </c>
      <c r="E388" s="33"/>
      <c r="F388" s="32">
        <f t="shared" si="101"/>
        <v>2643</v>
      </c>
      <c r="G388" s="32">
        <f>G389+G390+G391</f>
        <v>0</v>
      </c>
      <c r="H388" s="33"/>
      <c r="I388" s="32">
        <f t="shared" si="102"/>
        <v>0</v>
      </c>
      <c r="J388" s="44">
        <f>J389+J390+J391</f>
        <v>0</v>
      </c>
      <c r="K388" s="45"/>
      <c r="L388" s="32">
        <f t="shared" si="103"/>
        <v>0</v>
      </c>
      <c r="M388" s="127">
        <f>M389+M390+M391</f>
        <v>0</v>
      </c>
      <c r="N388" s="128"/>
      <c r="O388" s="32">
        <f t="shared" si="104"/>
        <v>0</v>
      </c>
      <c r="P388" s="32">
        <f t="shared" si="105"/>
        <v>2643</v>
      </c>
      <c r="Q388" s="89"/>
      <c r="R388" s="89"/>
      <c r="IP388" s="81"/>
      <c r="IQ388" s="81"/>
      <c r="IR388" s="81"/>
      <c r="IS388" s="81"/>
      <c r="IT388" s="81"/>
    </row>
    <row r="389" spans="1:254" s="80" customFormat="1" ht="15" customHeight="1" hidden="1">
      <c r="A389" s="41" t="s">
        <v>61</v>
      </c>
      <c r="B389" s="88"/>
      <c r="C389" s="36">
        <f>D389+G389+J389+M389</f>
        <v>2221</v>
      </c>
      <c r="D389" s="36">
        <f>2221</f>
        <v>2221</v>
      </c>
      <c r="E389" s="37"/>
      <c r="F389" s="32">
        <f t="shared" si="101"/>
        <v>2221</v>
      </c>
      <c r="G389" s="36">
        <v>0</v>
      </c>
      <c r="H389" s="37"/>
      <c r="I389" s="32">
        <f t="shared" si="102"/>
        <v>0</v>
      </c>
      <c r="J389" s="48">
        <v>0</v>
      </c>
      <c r="K389" s="56"/>
      <c r="L389" s="32">
        <f t="shared" si="103"/>
        <v>0</v>
      </c>
      <c r="M389" s="125">
        <v>0</v>
      </c>
      <c r="N389" s="126"/>
      <c r="O389" s="32">
        <f t="shared" si="104"/>
        <v>0</v>
      </c>
      <c r="P389" s="32">
        <f t="shared" si="105"/>
        <v>2221</v>
      </c>
      <c r="Q389" s="89"/>
      <c r="R389" s="89"/>
      <c r="IP389" s="81"/>
      <c r="IQ389" s="81"/>
      <c r="IR389" s="81"/>
      <c r="IS389" s="81"/>
      <c r="IT389" s="81"/>
    </row>
    <row r="390" spans="1:254" s="80" customFormat="1" ht="15.75" customHeight="1" hidden="1">
      <c r="A390" s="41" t="s">
        <v>62</v>
      </c>
      <c r="B390" s="88"/>
      <c r="C390" s="36">
        <f>D390+G390+J390+M390</f>
        <v>0</v>
      </c>
      <c r="D390" s="36">
        <v>0</v>
      </c>
      <c r="E390" s="37"/>
      <c r="F390" s="32">
        <f t="shared" si="101"/>
        <v>0</v>
      </c>
      <c r="G390" s="36">
        <v>0</v>
      </c>
      <c r="H390" s="37"/>
      <c r="I390" s="32">
        <f t="shared" si="102"/>
        <v>0</v>
      </c>
      <c r="J390" s="48">
        <v>0</v>
      </c>
      <c r="K390" s="56"/>
      <c r="L390" s="32">
        <f t="shared" si="103"/>
        <v>0</v>
      </c>
      <c r="M390" s="125">
        <v>0</v>
      </c>
      <c r="N390" s="126"/>
      <c r="O390" s="32">
        <f t="shared" si="104"/>
        <v>0</v>
      </c>
      <c r="P390" s="32">
        <f t="shared" si="105"/>
        <v>0</v>
      </c>
      <c r="Q390" s="89"/>
      <c r="R390" s="89"/>
      <c r="IP390" s="81"/>
      <c r="IQ390" s="81"/>
      <c r="IR390" s="81"/>
      <c r="IS390" s="81"/>
      <c r="IT390" s="81"/>
    </row>
    <row r="391" spans="1:254" s="80" customFormat="1" ht="17.25" customHeight="1" hidden="1">
      <c r="A391" s="41" t="s">
        <v>63</v>
      </c>
      <c r="B391" s="88"/>
      <c r="C391" s="36">
        <f>D391+G391+J391+M391</f>
        <v>422</v>
      </c>
      <c r="D391" s="36">
        <f>422</f>
        <v>422</v>
      </c>
      <c r="E391" s="37"/>
      <c r="F391" s="32">
        <f t="shared" si="101"/>
        <v>422</v>
      </c>
      <c r="G391" s="36">
        <v>0</v>
      </c>
      <c r="H391" s="37"/>
      <c r="I391" s="32">
        <f t="shared" si="102"/>
        <v>0</v>
      </c>
      <c r="J391" s="48">
        <v>0</v>
      </c>
      <c r="K391" s="56"/>
      <c r="L391" s="32">
        <f t="shared" si="103"/>
        <v>0</v>
      </c>
      <c r="M391" s="125">
        <v>0</v>
      </c>
      <c r="N391" s="126"/>
      <c r="O391" s="32">
        <f t="shared" si="104"/>
        <v>0</v>
      </c>
      <c r="P391" s="32">
        <f t="shared" si="105"/>
        <v>422</v>
      </c>
      <c r="Q391" s="89"/>
      <c r="R391" s="89"/>
      <c r="IP391" s="81"/>
      <c r="IQ391" s="81"/>
      <c r="IR391" s="81"/>
      <c r="IS391" s="81"/>
      <c r="IT391" s="81"/>
    </row>
    <row r="392" spans="1:254" s="80" customFormat="1" ht="19.5" customHeight="1" hidden="1">
      <c r="A392" s="41"/>
      <c r="B392" s="88"/>
      <c r="C392" s="36"/>
      <c r="D392" s="36"/>
      <c r="E392" s="37"/>
      <c r="F392" s="32">
        <f t="shared" si="101"/>
        <v>0</v>
      </c>
      <c r="G392" s="36"/>
      <c r="H392" s="37"/>
      <c r="I392" s="32">
        <f t="shared" si="102"/>
        <v>0</v>
      </c>
      <c r="J392" s="48"/>
      <c r="K392" s="56"/>
      <c r="L392" s="32">
        <f t="shared" si="103"/>
        <v>0</v>
      </c>
      <c r="M392" s="125"/>
      <c r="N392" s="126"/>
      <c r="O392" s="32">
        <f t="shared" si="104"/>
        <v>0</v>
      </c>
      <c r="P392" s="32">
        <f t="shared" si="105"/>
        <v>0</v>
      </c>
      <c r="Q392" s="89"/>
      <c r="R392" s="89"/>
      <c r="IP392" s="81"/>
      <c r="IQ392" s="81"/>
      <c r="IR392" s="81"/>
      <c r="IS392" s="81"/>
      <c r="IT392" s="81"/>
    </row>
    <row r="393" spans="1:254" s="80" customFormat="1" ht="17.25" customHeight="1">
      <c r="A393" s="41"/>
      <c r="B393" s="88"/>
      <c r="C393" s="32">
        <f>C394+C395+C396</f>
        <v>6592</v>
      </c>
      <c r="D393" s="32">
        <f>D394+D395+D396</f>
        <v>0</v>
      </c>
      <c r="E393" s="33"/>
      <c r="F393" s="32">
        <f t="shared" si="101"/>
        <v>0</v>
      </c>
      <c r="G393" s="32">
        <f>G394+G395+G396</f>
        <v>0</v>
      </c>
      <c r="H393" s="33"/>
      <c r="I393" s="32">
        <f t="shared" si="102"/>
        <v>0</v>
      </c>
      <c r="J393" s="44">
        <f>J394+J395+J396</f>
        <v>6592</v>
      </c>
      <c r="K393" s="45"/>
      <c r="L393" s="32">
        <f t="shared" si="103"/>
        <v>6592</v>
      </c>
      <c r="M393" s="127">
        <f>M394+M395+M396</f>
        <v>0</v>
      </c>
      <c r="N393" s="128"/>
      <c r="O393" s="32">
        <f t="shared" si="104"/>
        <v>0</v>
      </c>
      <c r="P393" s="32">
        <f t="shared" si="105"/>
        <v>6592</v>
      </c>
      <c r="Q393" s="89"/>
      <c r="R393" s="89"/>
      <c r="IP393" s="81"/>
      <c r="IQ393" s="81"/>
      <c r="IR393" s="81"/>
      <c r="IS393" s="81"/>
      <c r="IT393" s="81"/>
    </row>
    <row r="394" spans="1:254" s="99" customFormat="1" ht="15.75" customHeight="1">
      <c r="A394" s="34" t="s">
        <v>21</v>
      </c>
      <c r="B394" s="35" t="s">
        <v>22</v>
      </c>
      <c r="C394" s="129">
        <f>D394+G394+J394+M394</f>
        <v>5539</v>
      </c>
      <c r="D394" s="123">
        <v>0</v>
      </c>
      <c r="E394" s="124"/>
      <c r="F394" s="32">
        <f t="shared" si="101"/>
        <v>0</v>
      </c>
      <c r="G394" s="123">
        <v>0</v>
      </c>
      <c r="H394" s="124"/>
      <c r="I394" s="32">
        <f t="shared" si="102"/>
        <v>0</v>
      </c>
      <c r="J394" s="123">
        <v>5539</v>
      </c>
      <c r="K394" s="124"/>
      <c r="L394" s="32">
        <f t="shared" si="103"/>
        <v>5539</v>
      </c>
      <c r="M394" s="123">
        <v>0</v>
      </c>
      <c r="N394" s="124"/>
      <c r="O394" s="32">
        <f t="shared" si="104"/>
        <v>0</v>
      </c>
      <c r="P394" s="32">
        <f t="shared" si="105"/>
        <v>5539</v>
      </c>
      <c r="Q394" s="98"/>
      <c r="R394" s="98"/>
      <c r="IP394" s="100"/>
      <c r="IQ394" s="100"/>
      <c r="IR394" s="100"/>
      <c r="IS394" s="100"/>
      <c r="IT394" s="100"/>
    </row>
    <row r="395" spans="1:254" s="99" customFormat="1" ht="17.25" customHeight="1">
      <c r="A395" s="34" t="s">
        <v>23</v>
      </c>
      <c r="B395" s="35" t="s">
        <v>24</v>
      </c>
      <c r="C395" s="129">
        <f>D395+G395+J395+M395</f>
        <v>0</v>
      </c>
      <c r="D395" s="123">
        <v>0</v>
      </c>
      <c r="E395" s="124"/>
      <c r="F395" s="32">
        <f t="shared" si="101"/>
        <v>0</v>
      </c>
      <c r="G395" s="123">
        <v>0</v>
      </c>
      <c r="H395" s="124"/>
      <c r="I395" s="32">
        <f t="shared" si="102"/>
        <v>0</v>
      </c>
      <c r="J395" s="123">
        <v>0</v>
      </c>
      <c r="K395" s="124"/>
      <c r="L395" s="32">
        <f t="shared" si="103"/>
        <v>0</v>
      </c>
      <c r="M395" s="123">
        <v>0</v>
      </c>
      <c r="N395" s="124"/>
      <c r="O395" s="32">
        <f t="shared" si="104"/>
        <v>0</v>
      </c>
      <c r="P395" s="32">
        <f t="shared" si="105"/>
        <v>0</v>
      </c>
      <c r="Q395" s="98"/>
      <c r="R395" s="98"/>
      <c r="IP395" s="100"/>
      <c r="IQ395" s="100"/>
      <c r="IR395" s="100"/>
      <c r="IS395" s="100"/>
      <c r="IT395" s="100"/>
    </row>
    <row r="396" spans="1:254" s="99" customFormat="1" ht="15.75" customHeight="1">
      <c r="A396" s="40" t="s">
        <v>25</v>
      </c>
      <c r="B396" s="35" t="s">
        <v>26</v>
      </c>
      <c r="C396" s="129">
        <f>D396+G396+J396+M396</f>
        <v>1053</v>
      </c>
      <c r="D396" s="123">
        <v>0</v>
      </c>
      <c r="E396" s="124"/>
      <c r="F396" s="32">
        <f t="shared" si="101"/>
        <v>0</v>
      </c>
      <c r="G396" s="123">
        <v>0</v>
      </c>
      <c r="H396" s="124"/>
      <c r="I396" s="32">
        <f t="shared" si="102"/>
        <v>0</v>
      </c>
      <c r="J396" s="123">
        <v>1053</v>
      </c>
      <c r="K396" s="124"/>
      <c r="L396" s="32">
        <f t="shared" si="103"/>
        <v>1053</v>
      </c>
      <c r="M396" s="123">
        <v>0</v>
      </c>
      <c r="N396" s="124"/>
      <c r="O396" s="32">
        <f t="shared" si="104"/>
        <v>0</v>
      </c>
      <c r="P396" s="32">
        <f t="shared" si="105"/>
        <v>1053</v>
      </c>
      <c r="Q396" s="98"/>
      <c r="R396" s="98"/>
      <c r="IP396" s="100"/>
      <c r="IQ396" s="100"/>
      <c r="IR396" s="100"/>
      <c r="IS396" s="100"/>
      <c r="IT396" s="100"/>
    </row>
    <row r="397" spans="1:254" s="99" customFormat="1" ht="17.25" customHeight="1" hidden="1">
      <c r="A397" s="40"/>
      <c r="B397" s="130"/>
      <c r="C397" s="123"/>
      <c r="D397" s="123"/>
      <c r="E397" s="124"/>
      <c r="F397" s="32">
        <f t="shared" si="101"/>
        <v>0</v>
      </c>
      <c r="G397" s="123"/>
      <c r="H397" s="124"/>
      <c r="I397" s="32">
        <f t="shared" si="102"/>
        <v>0</v>
      </c>
      <c r="J397" s="123"/>
      <c r="K397" s="124"/>
      <c r="L397" s="32">
        <f t="shared" si="103"/>
        <v>0</v>
      </c>
      <c r="M397" s="123"/>
      <c r="N397" s="124"/>
      <c r="O397" s="32">
        <f t="shared" si="104"/>
        <v>0</v>
      </c>
      <c r="P397" s="32">
        <f t="shared" si="105"/>
        <v>0</v>
      </c>
      <c r="Q397" s="98"/>
      <c r="R397" s="98"/>
      <c r="IP397" s="100"/>
      <c r="IQ397" s="100"/>
      <c r="IR397" s="100"/>
      <c r="IS397" s="100"/>
      <c r="IT397" s="100"/>
    </row>
    <row r="398" spans="1:254" s="99" customFormat="1" ht="17.25" customHeight="1" hidden="1">
      <c r="A398" s="131"/>
      <c r="B398" s="115"/>
      <c r="C398" s="72">
        <f>C399+C400+C401</f>
        <v>6592</v>
      </c>
      <c r="D398" s="72">
        <f>D399+D400+D401</f>
        <v>0</v>
      </c>
      <c r="E398" s="73"/>
      <c r="F398" s="32">
        <f t="shared" si="101"/>
        <v>0</v>
      </c>
      <c r="G398" s="72">
        <f>G399+G400+G401</f>
        <v>0</v>
      </c>
      <c r="H398" s="73"/>
      <c r="I398" s="32">
        <f t="shared" si="102"/>
        <v>0</v>
      </c>
      <c r="J398" s="72">
        <f>J399+J400+J401</f>
        <v>6592</v>
      </c>
      <c r="K398" s="73"/>
      <c r="L398" s="32">
        <f t="shared" si="103"/>
        <v>6592</v>
      </c>
      <c r="M398" s="72">
        <f>M399+M400+M401</f>
        <v>0</v>
      </c>
      <c r="N398" s="73"/>
      <c r="O398" s="32">
        <f t="shared" si="104"/>
        <v>0</v>
      </c>
      <c r="P398" s="32">
        <f t="shared" si="105"/>
        <v>6592</v>
      </c>
      <c r="Q398" s="98"/>
      <c r="R398" s="98"/>
      <c r="IP398" s="100"/>
      <c r="IQ398" s="100"/>
      <c r="IR398" s="100"/>
      <c r="IS398" s="100"/>
      <c r="IT398" s="100"/>
    </row>
    <row r="399" spans="1:254" s="99" customFormat="1" ht="17.25" customHeight="1" hidden="1">
      <c r="A399" s="40" t="s">
        <v>27</v>
      </c>
      <c r="B399" s="43" t="s">
        <v>22</v>
      </c>
      <c r="C399" s="123">
        <f>C394</f>
        <v>5539</v>
      </c>
      <c r="D399" s="123">
        <v>0</v>
      </c>
      <c r="E399" s="124"/>
      <c r="F399" s="32">
        <f t="shared" si="101"/>
        <v>0</v>
      </c>
      <c r="G399" s="123">
        <v>0</v>
      </c>
      <c r="H399" s="124"/>
      <c r="I399" s="32">
        <f t="shared" si="102"/>
        <v>0</v>
      </c>
      <c r="J399" s="123">
        <v>5539</v>
      </c>
      <c r="K399" s="124"/>
      <c r="L399" s="32">
        <f t="shared" si="103"/>
        <v>5539</v>
      </c>
      <c r="M399" s="123">
        <v>0</v>
      </c>
      <c r="N399" s="124"/>
      <c r="O399" s="32">
        <f t="shared" si="104"/>
        <v>0</v>
      </c>
      <c r="P399" s="32">
        <f t="shared" si="105"/>
        <v>5539</v>
      </c>
      <c r="Q399" s="98"/>
      <c r="R399" s="98"/>
      <c r="IP399" s="100"/>
      <c r="IQ399" s="100"/>
      <c r="IR399" s="100"/>
      <c r="IS399" s="100"/>
      <c r="IT399" s="100"/>
    </row>
    <row r="400" spans="1:254" s="99" customFormat="1" ht="18.75" customHeight="1" hidden="1">
      <c r="A400" s="40" t="s">
        <v>28</v>
      </c>
      <c r="B400" s="43" t="s">
        <v>29</v>
      </c>
      <c r="C400" s="123">
        <f>C395</f>
        <v>0</v>
      </c>
      <c r="D400" s="123">
        <v>0</v>
      </c>
      <c r="E400" s="124"/>
      <c r="F400" s="32">
        <f t="shared" si="101"/>
        <v>0</v>
      </c>
      <c r="G400" s="123">
        <v>0</v>
      </c>
      <c r="H400" s="124"/>
      <c r="I400" s="32">
        <f t="shared" si="102"/>
        <v>0</v>
      </c>
      <c r="J400" s="123">
        <v>0</v>
      </c>
      <c r="K400" s="124"/>
      <c r="L400" s="32">
        <f t="shared" si="103"/>
        <v>0</v>
      </c>
      <c r="M400" s="123">
        <v>0</v>
      </c>
      <c r="N400" s="124"/>
      <c r="O400" s="32">
        <f t="shared" si="104"/>
        <v>0</v>
      </c>
      <c r="P400" s="32">
        <f t="shared" si="105"/>
        <v>0</v>
      </c>
      <c r="Q400" s="98"/>
      <c r="R400" s="98"/>
      <c r="IP400" s="100"/>
      <c r="IQ400" s="100"/>
      <c r="IR400" s="100"/>
      <c r="IS400" s="100"/>
      <c r="IT400" s="100"/>
    </row>
    <row r="401" spans="1:254" s="99" customFormat="1" ht="16.5" customHeight="1" hidden="1">
      <c r="A401" s="40" t="s">
        <v>30</v>
      </c>
      <c r="B401" s="43" t="s">
        <v>26</v>
      </c>
      <c r="C401" s="123">
        <f>C396</f>
        <v>1053</v>
      </c>
      <c r="D401" s="123">
        <v>0</v>
      </c>
      <c r="E401" s="124"/>
      <c r="F401" s="32">
        <f t="shared" si="101"/>
        <v>0</v>
      </c>
      <c r="G401" s="123">
        <v>0</v>
      </c>
      <c r="H401" s="124"/>
      <c r="I401" s="32">
        <f t="shared" si="102"/>
        <v>0</v>
      </c>
      <c r="J401" s="123">
        <v>1053</v>
      </c>
      <c r="K401" s="124"/>
      <c r="L401" s="32">
        <f t="shared" si="103"/>
        <v>1053</v>
      </c>
      <c r="M401" s="123">
        <v>0</v>
      </c>
      <c r="N401" s="124"/>
      <c r="O401" s="32">
        <f t="shared" si="104"/>
        <v>0</v>
      </c>
      <c r="P401" s="32">
        <f t="shared" si="105"/>
        <v>1053</v>
      </c>
      <c r="Q401" s="98"/>
      <c r="R401" s="98"/>
      <c r="IP401" s="100"/>
      <c r="IQ401" s="100"/>
      <c r="IR401" s="100"/>
      <c r="IS401" s="100"/>
      <c r="IT401" s="100"/>
    </row>
    <row r="402" spans="1:254" s="80" customFormat="1" ht="31.5" customHeight="1">
      <c r="A402" s="78" t="s">
        <v>103</v>
      </c>
      <c r="B402" s="25" t="s">
        <v>104</v>
      </c>
      <c r="C402" s="44">
        <f>C403+C404+C405</f>
        <v>261</v>
      </c>
      <c r="D402" s="44">
        <f>D403+D404+D405</f>
        <v>149</v>
      </c>
      <c r="E402" s="45"/>
      <c r="F402" s="32">
        <f t="shared" si="101"/>
        <v>149</v>
      </c>
      <c r="G402" s="44">
        <f>G403+G404+G405</f>
        <v>0</v>
      </c>
      <c r="H402" s="45"/>
      <c r="I402" s="32">
        <f t="shared" si="102"/>
        <v>0</v>
      </c>
      <c r="J402" s="44">
        <f>J403+J404+J405</f>
        <v>112</v>
      </c>
      <c r="K402" s="45"/>
      <c r="L402" s="32">
        <f t="shared" si="103"/>
        <v>112</v>
      </c>
      <c r="M402" s="44">
        <f>M403+M404+M405</f>
        <v>0</v>
      </c>
      <c r="N402" s="45"/>
      <c r="O402" s="32">
        <f t="shared" si="104"/>
        <v>0</v>
      </c>
      <c r="P402" s="32">
        <f t="shared" si="105"/>
        <v>261</v>
      </c>
      <c r="Q402" s="89"/>
      <c r="R402" s="89"/>
      <c r="IP402" s="81"/>
      <c r="IQ402" s="81"/>
      <c r="IR402" s="81"/>
      <c r="IS402" s="81"/>
      <c r="IT402" s="81"/>
    </row>
    <row r="403" spans="1:254" s="80" customFormat="1" ht="16.5" customHeight="1">
      <c r="A403" s="46" t="s">
        <v>58</v>
      </c>
      <c r="B403" s="35" t="s">
        <v>22</v>
      </c>
      <c r="C403" s="83">
        <f>D403+G403+J403+M403</f>
        <v>219</v>
      </c>
      <c r="D403" s="83">
        <v>125</v>
      </c>
      <c r="E403" s="84"/>
      <c r="F403" s="32">
        <f t="shared" si="101"/>
        <v>125</v>
      </c>
      <c r="G403" s="83">
        <v>0</v>
      </c>
      <c r="H403" s="84"/>
      <c r="I403" s="32">
        <f t="shared" si="102"/>
        <v>0</v>
      </c>
      <c r="J403" s="83">
        <v>94</v>
      </c>
      <c r="K403" s="84"/>
      <c r="L403" s="32">
        <f t="shared" si="103"/>
        <v>94</v>
      </c>
      <c r="M403" s="83">
        <v>0</v>
      </c>
      <c r="N403" s="84"/>
      <c r="O403" s="32">
        <f t="shared" si="104"/>
        <v>0</v>
      </c>
      <c r="P403" s="32">
        <f t="shared" si="105"/>
        <v>219</v>
      </c>
      <c r="Q403" s="89"/>
      <c r="R403" s="89"/>
      <c r="IP403" s="81"/>
      <c r="IQ403" s="81"/>
      <c r="IR403" s="81"/>
      <c r="IS403" s="81"/>
      <c r="IT403" s="81"/>
    </row>
    <row r="404" spans="1:254" s="80" customFormat="1" ht="16.5" customHeight="1">
      <c r="A404" s="46" t="s">
        <v>59</v>
      </c>
      <c r="B404" s="35" t="s">
        <v>24</v>
      </c>
      <c r="C404" s="83">
        <f>D404+G404+J404+M404</f>
        <v>0</v>
      </c>
      <c r="D404" s="83">
        <v>0</v>
      </c>
      <c r="E404" s="84"/>
      <c r="F404" s="32">
        <f t="shared" si="101"/>
        <v>0</v>
      </c>
      <c r="G404" s="83">
        <v>0</v>
      </c>
      <c r="H404" s="84"/>
      <c r="I404" s="32">
        <f t="shared" si="102"/>
        <v>0</v>
      </c>
      <c r="J404" s="83">
        <v>0</v>
      </c>
      <c r="K404" s="84"/>
      <c r="L404" s="32">
        <f t="shared" si="103"/>
        <v>0</v>
      </c>
      <c r="M404" s="83">
        <v>0</v>
      </c>
      <c r="N404" s="84"/>
      <c r="O404" s="32">
        <f t="shared" si="104"/>
        <v>0</v>
      </c>
      <c r="P404" s="32">
        <f t="shared" si="105"/>
        <v>0</v>
      </c>
      <c r="Q404" s="89"/>
      <c r="R404" s="89"/>
      <c r="IP404" s="81"/>
      <c r="IQ404" s="81"/>
      <c r="IR404" s="81"/>
      <c r="IS404" s="81"/>
      <c r="IT404" s="81"/>
    </row>
    <row r="405" spans="1:254" s="80" customFormat="1" ht="16.5" customHeight="1">
      <c r="A405" s="41" t="s">
        <v>60</v>
      </c>
      <c r="B405" s="35" t="s">
        <v>26</v>
      </c>
      <c r="C405" s="83">
        <f>D405+G405+J405+M405</f>
        <v>42</v>
      </c>
      <c r="D405" s="83">
        <v>24</v>
      </c>
      <c r="E405" s="84"/>
      <c r="F405" s="32">
        <f t="shared" si="101"/>
        <v>24</v>
      </c>
      <c r="G405" s="83">
        <v>0</v>
      </c>
      <c r="H405" s="84"/>
      <c r="I405" s="32">
        <f t="shared" si="102"/>
        <v>0</v>
      </c>
      <c r="J405" s="83">
        <v>18</v>
      </c>
      <c r="K405" s="84"/>
      <c r="L405" s="32">
        <f t="shared" si="103"/>
        <v>18</v>
      </c>
      <c r="M405" s="83">
        <v>0</v>
      </c>
      <c r="N405" s="84"/>
      <c r="O405" s="32">
        <f t="shared" si="104"/>
        <v>0</v>
      </c>
      <c r="P405" s="32">
        <f t="shared" si="105"/>
        <v>42</v>
      </c>
      <c r="Q405" s="89"/>
      <c r="R405" s="89"/>
      <c r="IP405" s="81"/>
      <c r="IQ405" s="81"/>
      <c r="IR405" s="81"/>
      <c r="IS405" s="81"/>
      <c r="IT405" s="81"/>
    </row>
    <row r="406" spans="1:254" s="80" customFormat="1" ht="16.5" customHeight="1" hidden="1">
      <c r="A406" s="41"/>
      <c r="B406" s="88"/>
      <c r="C406" s="83"/>
      <c r="D406" s="83"/>
      <c r="E406" s="84"/>
      <c r="F406" s="32">
        <f t="shared" si="101"/>
        <v>0</v>
      </c>
      <c r="G406" s="83"/>
      <c r="H406" s="84"/>
      <c r="I406" s="32">
        <f t="shared" si="102"/>
        <v>0</v>
      </c>
      <c r="J406" s="83"/>
      <c r="K406" s="84"/>
      <c r="L406" s="32">
        <f t="shared" si="103"/>
        <v>0</v>
      </c>
      <c r="M406" s="83"/>
      <c r="N406" s="84"/>
      <c r="O406" s="32">
        <f t="shared" si="104"/>
        <v>0</v>
      </c>
      <c r="P406" s="32">
        <f t="shared" si="105"/>
        <v>0</v>
      </c>
      <c r="Q406" s="89"/>
      <c r="R406" s="89"/>
      <c r="IP406" s="81"/>
      <c r="IQ406" s="81"/>
      <c r="IR406" s="81"/>
      <c r="IS406" s="81"/>
      <c r="IT406" s="81"/>
    </row>
    <row r="407" spans="1:254" s="80" customFormat="1" ht="16.5" customHeight="1" hidden="1">
      <c r="A407" s="42"/>
      <c r="B407" s="31"/>
      <c r="C407" s="116">
        <f>C408+C409+C410</f>
        <v>261</v>
      </c>
      <c r="D407" s="116">
        <f>D408+D409+D410</f>
        <v>149</v>
      </c>
      <c r="E407" s="117"/>
      <c r="F407" s="32">
        <f t="shared" si="101"/>
        <v>149</v>
      </c>
      <c r="G407" s="116">
        <f>G408+G409+G410</f>
        <v>0</v>
      </c>
      <c r="H407" s="117"/>
      <c r="I407" s="32">
        <f t="shared" si="102"/>
        <v>0</v>
      </c>
      <c r="J407" s="116">
        <f>J408+J409+J410+J411+J412+J413</f>
        <v>112</v>
      </c>
      <c r="K407" s="117"/>
      <c r="L407" s="32">
        <f t="shared" si="103"/>
        <v>112</v>
      </c>
      <c r="M407" s="116">
        <f>M408+M409+M410+M411+M412+M413</f>
        <v>0</v>
      </c>
      <c r="N407" s="117"/>
      <c r="O407" s="32">
        <f t="shared" si="104"/>
        <v>0</v>
      </c>
      <c r="P407" s="32">
        <f t="shared" si="105"/>
        <v>261</v>
      </c>
      <c r="Q407" s="89"/>
      <c r="R407" s="89"/>
      <c r="IP407" s="81"/>
      <c r="IQ407" s="81"/>
      <c r="IR407" s="81"/>
      <c r="IS407" s="81"/>
      <c r="IT407" s="81"/>
    </row>
    <row r="408" spans="1:254" s="80" customFormat="1" ht="16.5" customHeight="1" hidden="1">
      <c r="A408" s="41" t="s">
        <v>61</v>
      </c>
      <c r="B408" s="88"/>
      <c r="C408" s="83">
        <v>219</v>
      </c>
      <c r="D408" s="83">
        <v>125</v>
      </c>
      <c r="E408" s="84"/>
      <c r="F408" s="32">
        <f t="shared" si="101"/>
        <v>125</v>
      </c>
      <c r="G408" s="83">
        <v>0</v>
      </c>
      <c r="H408" s="84"/>
      <c r="I408" s="32">
        <f t="shared" si="102"/>
        <v>0</v>
      </c>
      <c r="J408" s="83">
        <v>94</v>
      </c>
      <c r="K408" s="84"/>
      <c r="L408" s="32">
        <f t="shared" si="103"/>
        <v>94</v>
      </c>
      <c r="M408" s="83">
        <v>0</v>
      </c>
      <c r="N408" s="84"/>
      <c r="O408" s="32">
        <f t="shared" si="104"/>
        <v>0</v>
      </c>
      <c r="P408" s="32">
        <f t="shared" si="105"/>
        <v>219</v>
      </c>
      <c r="Q408" s="89"/>
      <c r="R408" s="89"/>
      <c r="IP408" s="81"/>
      <c r="IQ408" s="81"/>
      <c r="IR408" s="81"/>
      <c r="IS408" s="81"/>
      <c r="IT408" s="81"/>
    </row>
    <row r="409" spans="1:254" s="80" customFormat="1" ht="16.5" customHeight="1" hidden="1">
      <c r="A409" s="41" t="s">
        <v>62</v>
      </c>
      <c r="B409" s="88"/>
      <c r="C409" s="83">
        <f>SUM(D409:J409)</f>
        <v>0</v>
      </c>
      <c r="D409" s="83">
        <v>0</v>
      </c>
      <c r="E409" s="84"/>
      <c r="F409" s="32">
        <f t="shared" si="101"/>
        <v>0</v>
      </c>
      <c r="G409" s="83">
        <v>0</v>
      </c>
      <c r="H409" s="84"/>
      <c r="I409" s="32">
        <f t="shared" si="102"/>
        <v>0</v>
      </c>
      <c r="J409" s="83">
        <v>0</v>
      </c>
      <c r="K409" s="84"/>
      <c r="L409" s="32">
        <f t="shared" si="103"/>
        <v>0</v>
      </c>
      <c r="M409" s="83">
        <v>0</v>
      </c>
      <c r="N409" s="84"/>
      <c r="O409" s="32">
        <f t="shared" si="104"/>
        <v>0</v>
      </c>
      <c r="P409" s="32">
        <f t="shared" si="105"/>
        <v>0</v>
      </c>
      <c r="Q409" s="89"/>
      <c r="R409" s="89"/>
      <c r="IP409" s="81"/>
      <c r="IQ409" s="81"/>
      <c r="IR409" s="81"/>
      <c r="IS409" s="81"/>
      <c r="IT409" s="81"/>
    </row>
    <row r="410" spans="1:254" s="80" customFormat="1" ht="16.5" customHeight="1" hidden="1">
      <c r="A410" s="41" t="s">
        <v>63</v>
      </c>
      <c r="B410" s="88"/>
      <c r="C410" s="83">
        <v>42</v>
      </c>
      <c r="D410" s="83">
        <v>24</v>
      </c>
      <c r="E410" s="84"/>
      <c r="F410" s="32">
        <f aca="true" t="shared" si="106" ref="F410:F441">D410+E410</f>
        <v>24</v>
      </c>
      <c r="G410" s="83">
        <v>0</v>
      </c>
      <c r="H410" s="84"/>
      <c r="I410" s="32">
        <f aca="true" t="shared" si="107" ref="I410:I441">G410+H410</f>
        <v>0</v>
      </c>
      <c r="J410" s="83">
        <v>18</v>
      </c>
      <c r="K410" s="84"/>
      <c r="L410" s="32">
        <f aca="true" t="shared" si="108" ref="L410:L441">J410+K410</f>
        <v>18</v>
      </c>
      <c r="M410" s="83">
        <v>0</v>
      </c>
      <c r="N410" s="84"/>
      <c r="O410" s="32">
        <f aca="true" t="shared" si="109" ref="O410:O441">M410+N410</f>
        <v>0</v>
      </c>
      <c r="P410" s="32">
        <f aca="true" t="shared" si="110" ref="P410:P441">F410+I410+L410+O410</f>
        <v>42</v>
      </c>
      <c r="Q410" s="89"/>
      <c r="R410" s="89"/>
      <c r="IP410" s="81"/>
      <c r="IQ410" s="81"/>
      <c r="IR410" s="81"/>
      <c r="IS410" s="81"/>
      <c r="IT410" s="81"/>
    </row>
    <row r="411" spans="1:254" s="99" customFormat="1" ht="33.75" customHeight="1">
      <c r="A411" s="78" t="s">
        <v>103</v>
      </c>
      <c r="B411" s="25" t="s">
        <v>105</v>
      </c>
      <c r="C411" s="44">
        <f>C412+C413+C414</f>
        <v>280</v>
      </c>
      <c r="D411" s="44">
        <f>D412+D413+D414</f>
        <v>100</v>
      </c>
      <c r="E411" s="45"/>
      <c r="F411" s="32">
        <f t="shared" si="106"/>
        <v>100</v>
      </c>
      <c r="G411" s="44">
        <f>G412+G413+G414</f>
        <v>180</v>
      </c>
      <c r="H411" s="45"/>
      <c r="I411" s="32">
        <f t="shared" si="107"/>
        <v>180</v>
      </c>
      <c r="J411" s="44">
        <f>J412+J413+J414</f>
        <v>0</v>
      </c>
      <c r="K411" s="45"/>
      <c r="L411" s="32">
        <f t="shared" si="108"/>
        <v>0</v>
      </c>
      <c r="M411" s="44">
        <f>M412+M413+M414</f>
        <v>0</v>
      </c>
      <c r="N411" s="45"/>
      <c r="O411" s="32">
        <f t="shared" si="109"/>
        <v>0</v>
      </c>
      <c r="P411" s="32">
        <f t="shared" si="110"/>
        <v>280</v>
      </c>
      <c r="Q411" s="98"/>
      <c r="R411" s="98"/>
      <c r="IP411" s="100"/>
      <c r="IQ411" s="100"/>
      <c r="IR411" s="100"/>
      <c r="IS411" s="100"/>
      <c r="IT411" s="100"/>
    </row>
    <row r="412" spans="1:254" s="99" customFormat="1" ht="16.5" customHeight="1">
      <c r="A412" s="46" t="s">
        <v>58</v>
      </c>
      <c r="B412" s="35" t="s">
        <v>22</v>
      </c>
      <c r="C412" s="83">
        <f>D412+G412+J412+M412</f>
        <v>224</v>
      </c>
      <c r="D412" s="83">
        <v>80</v>
      </c>
      <c r="E412" s="84"/>
      <c r="F412" s="32">
        <f t="shared" si="106"/>
        <v>80</v>
      </c>
      <c r="G412" s="83">
        <v>144</v>
      </c>
      <c r="H412" s="84"/>
      <c r="I412" s="32">
        <f t="shared" si="107"/>
        <v>144</v>
      </c>
      <c r="J412" s="83">
        <v>0</v>
      </c>
      <c r="K412" s="84"/>
      <c r="L412" s="32">
        <f t="shared" si="108"/>
        <v>0</v>
      </c>
      <c r="M412" s="83">
        <v>0</v>
      </c>
      <c r="N412" s="84"/>
      <c r="O412" s="32">
        <f t="shared" si="109"/>
        <v>0</v>
      </c>
      <c r="P412" s="32">
        <f t="shared" si="110"/>
        <v>224</v>
      </c>
      <c r="Q412" s="98"/>
      <c r="R412" s="98"/>
      <c r="IP412" s="100"/>
      <c r="IQ412" s="100"/>
      <c r="IR412" s="100"/>
      <c r="IS412" s="100"/>
      <c r="IT412" s="100"/>
    </row>
    <row r="413" spans="1:254" s="99" customFormat="1" ht="16.5" customHeight="1">
      <c r="A413" s="46" t="s">
        <v>59</v>
      </c>
      <c r="B413" s="35" t="s">
        <v>24</v>
      </c>
      <c r="C413" s="83">
        <f>D413+G413+J413+M413</f>
        <v>0</v>
      </c>
      <c r="D413" s="83">
        <v>0</v>
      </c>
      <c r="E413" s="84"/>
      <c r="F413" s="32">
        <f t="shared" si="106"/>
        <v>0</v>
      </c>
      <c r="G413" s="83">
        <v>0</v>
      </c>
      <c r="H413" s="84"/>
      <c r="I413" s="32">
        <f t="shared" si="107"/>
        <v>0</v>
      </c>
      <c r="J413" s="83">
        <v>0</v>
      </c>
      <c r="K413" s="84"/>
      <c r="L413" s="32">
        <f t="shared" si="108"/>
        <v>0</v>
      </c>
      <c r="M413" s="83">
        <v>0</v>
      </c>
      <c r="N413" s="84"/>
      <c r="O413" s="32">
        <f t="shared" si="109"/>
        <v>0</v>
      </c>
      <c r="P413" s="32">
        <f t="shared" si="110"/>
        <v>0</v>
      </c>
      <c r="Q413" s="98"/>
      <c r="R413" s="98"/>
      <c r="IP413" s="100"/>
      <c r="IQ413" s="100"/>
      <c r="IR413" s="100"/>
      <c r="IS413" s="100"/>
      <c r="IT413" s="100"/>
    </row>
    <row r="414" spans="1:254" s="99" customFormat="1" ht="16.5" customHeight="1">
      <c r="A414" s="41" t="s">
        <v>60</v>
      </c>
      <c r="B414" s="35" t="s">
        <v>26</v>
      </c>
      <c r="C414" s="83">
        <f>D414+G414+J414+M414</f>
        <v>56</v>
      </c>
      <c r="D414" s="83">
        <v>20</v>
      </c>
      <c r="E414" s="84"/>
      <c r="F414" s="32">
        <f t="shared" si="106"/>
        <v>20</v>
      </c>
      <c r="G414" s="83">
        <v>36</v>
      </c>
      <c r="H414" s="84"/>
      <c r="I414" s="32">
        <f t="shared" si="107"/>
        <v>36</v>
      </c>
      <c r="J414" s="83">
        <v>0</v>
      </c>
      <c r="K414" s="84"/>
      <c r="L414" s="32">
        <f t="shared" si="108"/>
        <v>0</v>
      </c>
      <c r="M414" s="83">
        <v>0</v>
      </c>
      <c r="N414" s="84"/>
      <c r="O414" s="32">
        <f t="shared" si="109"/>
        <v>0</v>
      </c>
      <c r="P414" s="32">
        <f t="shared" si="110"/>
        <v>56</v>
      </c>
      <c r="Q414" s="98"/>
      <c r="R414" s="98"/>
      <c r="IP414" s="100"/>
      <c r="IQ414" s="100"/>
      <c r="IR414" s="100"/>
      <c r="IS414" s="100"/>
      <c r="IT414" s="100"/>
    </row>
    <row r="415" spans="1:254" s="99" customFormat="1" ht="16.5" customHeight="1" hidden="1">
      <c r="A415" s="41"/>
      <c r="B415" s="88"/>
      <c r="C415" s="83"/>
      <c r="D415" s="83"/>
      <c r="E415" s="84"/>
      <c r="F415" s="32">
        <f t="shared" si="106"/>
        <v>0</v>
      </c>
      <c r="G415" s="83"/>
      <c r="H415" s="84"/>
      <c r="I415" s="32">
        <f t="shared" si="107"/>
        <v>0</v>
      </c>
      <c r="J415" s="83"/>
      <c r="K415" s="84"/>
      <c r="L415" s="32">
        <f t="shared" si="108"/>
        <v>0</v>
      </c>
      <c r="M415" s="83"/>
      <c r="N415" s="84"/>
      <c r="O415" s="32">
        <f t="shared" si="109"/>
        <v>0</v>
      </c>
      <c r="P415" s="32">
        <f t="shared" si="110"/>
        <v>0</v>
      </c>
      <c r="Q415" s="98"/>
      <c r="R415" s="98"/>
      <c r="IP415" s="100"/>
      <c r="IQ415" s="100"/>
      <c r="IR415" s="100"/>
      <c r="IS415" s="100"/>
      <c r="IT415" s="100"/>
    </row>
    <row r="416" spans="1:254" s="99" customFormat="1" ht="16.5" customHeight="1" hidden="1">
      <c r="A416" s="42"/>
      <c r="B416" s="31"/>
      <c r="C416" s="116">
        <f>C417+C418+C419+C420+C421+C422</f>
        <v>280</v>
      </c>
      <c r="D416" s="116">
        <f>D417+D418+D419+D420+D421+D422</f>
        <v>100</v>
      </c>
      <c r="E416" s="117"/>
      <c r="F416" s="32">
        <f t="shared" si="106"/>
        <v>100</v>
      </c>
      <c r="G416" s="116">
        <f>G417+G418+G419+G420+G421+G422</f>
        <v>180</v>
      </c>
      <c r="H416" s="117"/>
      <c r="I416" s="32">
        <f t="shared" si="107"/>
        <v>180</v>
      </c>
      <c r="J416" s="116">
        <f>J417+J418+J419+J420+J421+J422</f>
        <v>0</v>
      </c>
      <c r="K416" s="117"/>
      <c r="L416" s="32">
        <f t="shared" si="108"/>
        <v>0</v>
      </c>
      <c r="M416" s="116">
        <f>M417+M418+M419+M420+M421+M422</f>
        <v>0</v>
      </c>
      <c r="N416" s="117"/>
      <c r="O416" s="32">
        <f t="shared" si="109"/>
        <v>0</v>
      </c>
      <c r="P416" s="32">
        <f t="shared" si="110"/>
        <v>280</v>
      </c>
      <c r="Q416" s="98"/>
      <c r="R416" s="98"/>
      <c r="IP416" s="100"/>
      <c r="IQ416" s="100"/>
      <c r="IR416" s="100"/>
      <c r="IS416" s="100"/>
      <c r="IT416" s="100"/>
    </row>
    <row r="417" spans="1:254" s="99" customFormat="1" ht="16.5" customHeight="1" hidden="1">
      <c r="A417" s="41" t="s">
        <v>61</v>
      </c>
      <c r="B417" s="88"/>
      <c r="C417" s="83">
        <v>224</v>
      </c>
      <c r="D417" s="83">
        <v>80</v>
      </c>
      <c r="E417" s="84"/>
      <c r="F417" s="32">
        <f t="shared" si="106"/>
        <v>80</v>
      </c>
      <c r="G417" s="83">
        <v>144</v>
      </c>
      <c r="H417" s="84"/>
      <c r="I417" s="32">
        <f t="shared" si="107"/>
        <v>144</v>
      </c>
      <c r="J417" s="83">
        <v>0</v>
      </c>
      <c r="K417" s="84"/>
      <c r="L417" s="32">
        <f t="shared" si="108"/>
        <v>0</v>
      </c>
      <c r="M417" s="83">
        <v>0</v>
      </c>
      <c r="N417" s="84"/>
      <c r="O417" s="32">
        <f t="shared" si="109"/>
        <v>0</v>
      </c>
      <c r="P417" s="32">
        <f t="shared" si="110"/>
        <v>224</v>
      </c>
      <c r="Q417" s="98"/>
      <c r="R417" s="98"/>
      <c r="IP417" s="100"/>
      <c r="IQ417" s="100"/>
      <c r="IR417" s="100"/>
      <c r="IS417" s="100"/>
      <c r="IT417" s="100"/>
    </row>
    <row r="418" spans="1:254" s="99" customFormat="1" ht="16.5" customHeight="1" hidden="1">
      <c r="A418" s="41" t="s">
        <v>62</v>
      </c>
      <c r="B418" s="88"/>
      <c r="C418" s="83">
        <f>SUM(D418:J418)</f>
        <v>0</v>
      </c>
      <c r="D418" s="83">
        <v>0</v>
      </c>
      <c r="E418" s="84"/>
      <c r="F418" s="32">
        <f t="shared" si="106"/>
        <v>0</v>
      </c>
      <c r="G418" s="83">
        <v>0</v>
      </c>
      <c r="H418" s="84"/>
      <c r="I418" s="32">
        <f t="shared" si="107"/>
        <v>0</v>
      </c>
      <c r="J418" s="83">
        <v>0</v>
      </c>
      <c r="K418" s="84"/>
      <c r="L418" s="32">
        <f t="shared" si="108"/>
        <v>0</v>
      </c>
      <c r="M418" s="83">
        <v>0</v>
      </c>
      <c r="N418" s="84"/>
      <c r="O418" s="32">
        <f t="shared" si="109"/>
        <v>0</v>
      </c>
      <c r="P418" s="32">
        <f t="shared" si="110"/>
        <v>0</v>
      </c>
      <c r="Q418" s="98"/>
      <c r="R418" s="98"/>
      <c r="IP418" s="100"/>
      <c r="IQ418" s="100"/>
      <c r="IR418" s="100"/>
      <c r="IS418" s="100"/>
      <c r="IT418" s="100"/>
    </row>
    <row r="419" spans="1:254" s="99" customFormat="1" ht="16.5" customHeight="1" hidden="1">
      <c r="A419" s="41" t="s">
        <v>63</v>
      </c>
      <c r="B419" s="88"/>
      <c r="C419" s="83">
        <v>56</v>
      </c>
      <c r="D419" s="83">
        <v>20</v>
      </c>
      <c r="E419" s="84"/>
      <c r="F419" s="32">
        <f t="shared" si="106"/>
        <v>20</v>
      </c>
      <c r="G419" s="83">
        <v>36</v>
      </c>
      <c r="H419" s="84"/>
      <c r="I419" s="32">
        <f t="shared" si="107"/>
        <v>36</v>
      </c>
      <c r="J419" s="83">
        <v>0</v>
      </c>
      <c r="K419" s="84"/>
      <c r="L419" s="32">
        <f t="shared" si="108"/>
        <v>0</v>
      </c>
      <c r="M419" s="83">
        <v>0</v>
      </c>
      <c r="N419" s="84"/>
      <c r="O419" s="32">
        <f t="shared" si="109"/>
        <v>0</v>
      </c>
      <c r="P419" s="32">
        <f t="shared" si="110"/>
        <v>56</v>
      </c>
      <c r="Q419" s="98"/>
      <c r="R419" s="98"/>
      <c r="IP419" s="100"/>
      <c r="IQ419" s="100"/>
      <c r="IR419" s="100"/>
      <c r="IS419" s="100"/>
      <c r="IT419" s="100"/>
    </row>
    <row r="420" spans="1:254" s="99" customFormat="1" ht="16.5" customHeight="1" hidden="1">
      <c r="A420" s="41" t="s">
        <v>106</v>
      </c>
      <c r="B420" s="88"/>
      <c r="C420" s="83">
        <f>SUM(D420:J420)</f>
        <v>0</v>
      </c>
      <c r="D420" s="83">
        <v>0</v>
      </c>
      <c r="E420" s="84"/>
      <c r="F420" s="32">
        <f t="shared" si="106"/>
        <v>0</v>
      </c>
      <c r="G420" s="83"/>
      <c r="H420" s="84"/>
      <c r="I420" s="32">
        <f t="shared" si="107"/>
        <v>0</v>
      </c>
      <c r="J420" s="83"/>
      <c r="K420" s="84"/>
      <c r="L420" s="32">
        <f t="shared" si="108"/>
        <v>0</v>
      </c>
      <c r="M420" s="83"/>
      <c r="N420" s="84"/>
      <c r="O420" s="32">
        <f t="shared" si="109"/>
        <v>0</v>
      </c>
      <c r="P420" s="32">
        <f t="shared" si="110"/>
        <v>0</v>
      </c>
      <c r="Q420" s="98"/>
      <c r="R420" s="98"/>
      <c r="IP420" s="100"/>
      <c r="IQ420" s="100"/>
      <c r="IR420" s="100"/>
      <c r="IS420" s="100"/>
      <c r="IT420" s="100"/>
    </row>
    <row r="421" spans="1:254" s="99" customFormat="1" ht="16.5" customHeight="1" hidden="1">
      <c r="A421" s="41" t="s">
        <v>107</v>
      </c>
      <c r="B421" s="88"/>
      <c r="C421" s="83">
        <f>SUM(D421:J421)</f>
        <v>0</v>
      </c>
      <c r="D421" s="83">
        <v>0</v>
      </c>
      <c r="E421" s="84"/>
      <c r="F421" s="32">
        <f t="shared" si="106"/>
        <v>0</v>
      </c>
      <c r="G421" s="83"/>
      <c r="H421" s="84"/>
      <c r="I421" s="32">
        <f t="shared" si="107"/>
        <v>0</v>
      </c>
      <c r="J421" s="83"/>
      <c r="K421" s="84"/>
      <c r="L421" s="32">
        <f t="shared" si="108"/>
        <v>0</v>
      </c>
      <c r="M421" s="83"/>
      <c r="N421" s="84"/>
      <c r="O421" s="32">
        <f t="shared" si="109"/>
        <v>0</v>
      </c>
      <c r="P421" s="32">
        <f t="shared" si="110"/>
        <v>0</v>
      </c>
      <c r="Q421" s="98"/>
      <c r="R421" s="98"/>
      <c r="IP421" s="100"/>
      <c r="IQ421" s="100"/>
      <c r="IR421" s="100"/>
      <c r="IS421" s="100"/>
      <c r="IT421" s="100"/>
    </row>
    <row r="422" spans="1:254" s="99" customFormat="1" ht="16.5" customHeight="1" hidden="1">
      <c r="A422" s="41" t="s">
        <v>108</v>
      </c>
      <c r="B422" s="88"/>
      <c r="C422" s="83">
        <f>SUM(D422:J422)</f>
        <v>0</v>
      </c>
      <c r="D422" s="83">
        <v>0</v>
      </c>
      <c r="E422" s="84"/>
      <c r="F422" s="32">
        <f t="shared" si="106"/>
        <v>0</v>
      </c>
      <c r="G422" s="83"/>
      <c r="H422" s="84"/>
      <c r="I422" s="32">
        <f t="shared" si="107"/>
        <v>0</v>
      </c>
      <c r="J422" s="83"/>
      <c r="K422" s="84"/>
      <c r="L422" s="32">
        <f t="shared" si="108"/>
        <v>0</v>
      </c>
      <c r="M422" s="83"/>
      <c r="N422" s="84"/>
      <c r="O422" s="32">
        <f t="shared" si="109"/>
        <v>0</v>
      </c>
      <c r="P422" s="32">
        <f t="shared" si="110"/>
        <v>0</v>
      </c>
      <c r="Q422" s="98"/>
      <c r="R422" s="98"/>
      <c r="IP422" s="100"/>
      <c r="IQ422" s="100"/>
      <c r="IR422" s="100"/>
      <c r="IS422" s="100"/>
      <c r="IT422" s="100"/>
    </row>
    <row r="423" spans="1:254" s="99" customFormat="1" ht="28.5" customHeight="1">
      <c r="A423" s="78" t="s">
        <v>103</v>
      </c>
      <c r="B423" s="25" t="s">
        <v>109</v>
      </c>
      <c r="C423" s="44">
        <f>C424+C425+C426</f>
        <v>280</v>
      </c>
      <c r="D423" s="44">
        <f>D424+D425+D426</f>
        <v>100</v>
      </c>
      <c r="E423" s="45"/>
      <c r="F423" s="32">
        <f t="shared" si="106"/>
        <v>100</v>
      </c>
      <c r="G423" s="44">
        <f>G424+G425+G426</f>
        <v>180</v>
      </c>
      <c r="H423" s="45"/>
      <c r="I423" s="32">
        <f t="shared" si="107"/>
        <v>180</v>
      </c>
      <c r="J423" s="44">
        <f>J424+J425+J426</f>
        <v>0</v>
      </c>
      <c r="K423" s="45"/>
      <c r="L423" s="32">
        <f t="shared" si="108"/>
        <v>0</v>
      </c>
      <c r="M423" s="44">
        <f>M424+M425+M426</f>
        <v>0</v>
      </c>
      <c r="N423" s="45"/>
      <c r="O423" s="32">
        <f t="shared" si="109"/>
        <v>0</v>
      </c>
      <c r="P423" s="32">
        <f t="shared" si="110"/>
        <v>280</v>
      </c>
      <c r="Q423" s="98"/>
      <c r="R423" s="98"/>
      <c r="IP423" s="100"/>
      <c r="IQ423" s="100"/>
      <c r="IR423" s="100"/>
      <c r="IS423" s="100"/>
      <c r="IT423" s="100"/>
    </row>
    <row r="424" spans="1:254" s="99" customFormat="1" ht="16.5" customHeight="1">
      <c r="A424" s="46" t="s">
        <v>58</v>
      </c>
      <c r="B424" s="35" t="s">
        <v>22</v>
      </c>
      <c r="C424" s="83">
        <f>D424+G424+J424+M424</f>
        <v>224</v>
      </c>
      <c r="D424" s="83">
        <v>80</v>
      </c>
      <c r="E424" s="84"/>
      <c r="F424" s="32">
        <f t="shared" si="106"/>
        <v>80</v>
      </c>
      <c r="G424" s="83">
        <v>144</v>
      </c>
      <c r="H424" s="84"/>
      <c r="I424" s="32">
        <f t="shared" si="107"/>
        <v>144</v>
      </c>
      <c r="J424" s="83">
        <v>0</v>
      </c>
      <c r="K424" s="84"/>
      <c r="L424" s="32">
        <f t="shared" si="108"/>
        <v>0</v>
      </c>
      <c r="M424" s="83">
        <v>0</v>
      </c>
      <c r="N424" s="84"/>
      <c r="O424" s="32">
        <f t="shared" si="109"/>
        <v>0</v>
      </c>
      <c r="P424" s="32">
        <f t="shared" si="110"/>
        <v>224</v>
      </c>
      <c r="Q424" s="98"/>
      <c r="R424" s="98"/>
      <c r="IP424" s="100"/>
      <c r="IQ424" s="100"/>
      <c r="IR424" s="100"/>
      <c r="IS424" s="100"/>
      <c r="IT424" s="100"/>
    </row>
    <row r="425" spans="1:254" s="99" customFormat="1" ht="16.5" customHeight="1">
      <c r="A425" s="46" t="s">
        <v>59</v>
      </c>
      <c r="B425" s="35" t="s">
        <v>24</v>
      </c>
      <c r="C425" s="83">
        <f>D425+G425+J425+M425</f>
        <v>0</v>
      </c>
      <c r="D425" s="83">
        <v>0</v>
      </c>
      <c r="E425" s="84"/>
      <c r="F425" s="32">
        <f t="shared" si="106"/>
        <v>0</v>
      </c>
      <c r="G425" s="83">
        <v>0</v>
      </c>
      <c r="H425" s="84"/>
      <c r="I425" s="32">
        <f t="shared" si="107"/>
        <v>0</v>
      </c>
      <c r="J425" s="83">
        <v>0</v>
      </c>
      <c r="K425" s="84"/>
      <c r="L425" s="32">
        <f t="shared" si="108"/>
        <v>0</v>
      </c>
      <c r="M425" s="83">
        <v>0</v>
      </c>
      <c r="N425" s="84"/>
      <c r="O425" s="32">
        <f t="shared" si="109"/>
        <v>0</v>
      </c>
      <c r="P425" s="32">
        <f t="shared" si="110"/>
        <v>0</v>
      </c>
      <c r="Q425" s="98"/>
      <c r="R425" s="98"/>
      <c r="IP425" s="100"/>
      <c r="IQ425" s="100"/>
      <c r="IR425" s="100"/>
      <c r="IS425" s="100"/>
      <c r="IT425" s="100"/>
    </row>
    <row r="426" spans="1:254" s="99" customFormat="1" ht="16.5" customHeight="1">
      <c r="A426" s="41" t="s">
        <v>60</v>
      </c>
      <c r="B426" s="35" t="s">
        <v>26</v>
      </c>
      <c r="C426" s="83">
        <f>D426+G426+J426+M426</f>
        <v>56</v>
      </c>
      <c r="D426" s="83">
        <v>20</v>
      </c>
      <c r="E426" s="84"/>
      <c r="F426" s="32">
        <f t="shared" si="106"/>
        <v>20</v>
      </c>
      <c r="G426" s="83">
        <v>36</v>
      </c>
      <c r="H426" s="84"/>
      <c r="I426" s="32">
        <f t="shared" si="107"/>
        <v>36</v>
      </c>
      <c r="J426" s="83">
        <v>0</v>
      </c>
      <c r="K426" s="84"/>
      <c r="L426" s="32">
        <f t="shared" si="108"/>
        <v>0</v>
      </c>
      <c r="M426" s="83">
        <v>0</v>
      </c>
      <c r="N426" s="84"/>
      <c r="O426" s="32">
        <f t="shared" si="109"/>
        <v>0</v>
      </c>
      <c r="P426" s="32">
        <f t="shared" si="110"/>
        <v>56</v>
      </c>
      <c r="Q426" s="98"/>
      <c r="R426" s="98"/>
      <c r="IP426" s="100"/>
      <c r="IQ426" s="100"/>
      <c r="IR426" s="100"/>
      <c r="IS426" s="100"/>
      <c r="IT426" s="100"/>
    </row>
    <row r="427" spans="1:254" s="99" customFormat="1" ht="16.5" customHeight="1" hidden="1">
      <c r="A427" s="41"/>
      <c r="B427" s="88"/>
      <c r="C427" s="83"/>
      <c r="D427" s="83"/>
      <c r="E427" s="84"/>
      <c r="F427" s="32">
        <f t="shared" si="106"/>
        <v>0</v>
      </c>
      <c r="G427" s="83"/>
      <c r="H427" s="84"/>
      <c r="I427" s="32">
        <f t="shared" si="107"/>
        <v>0</v>
      </c>
      <c r="J427" s="83"/>
      <c r="K427" s="84"/>
      <c r="L427" s="32">
        <f t="shared" si="108"/>
        <v>0</v>
      </c>
      <c r="M427" s="83"/>
      <c r="N427" s="84"/>
      <c r="O427" s="32">
        <f t="shared" si="109"/>
        <v>0</v>
      </c>
      <c r="P427" s="32">
        <f t="shared" si="110"/>
        <v>0</v>
      </c>
      <c r="Q427" s="98"/>
      <c r="R427" s="98"/>
      <c r="IP427" s="100"/>
      <c r="IQ427" s="100"/>
      <c r="IR427" s="100"/>
      <c r="IS427" s="100"/>
      <c r="IT427" s="100"/>
    </row>
    <row r="428" spans="1:254" s="99" customFormat="1" ht="16.5" customHeight="1" hidden="1">
      <c r="A428" s="42"/>
      <c r="B428" s="31"/>
      <c r="C428" s="116">
        <f>C429+C430+C431</f>
        <v>280</v>
      </c>
      <c r="D428" s="116">
        <f>D429+D430+D431+D432+D433+D434</f>
        <v>319</v>
      </c>
      <c r="E428" s="117"/>
      <c r="F428" s="32">
        <f t="shared" si="106"/>
        <v>319</v>
      </c>
      <c r="G428" s="116">
        <f>G429+G430+G431+G432+G433+G434</f>
        <v>399</v>
      </c>
      <c r="H428" s="117"/>
      <c r="I428" s="32">
        <f t="shared" si="107"/>
        <v>399</v>
      </c>
      <c r="J428" s="116">
        <f>J429+J430+J431+J432+J433+J434</f>
        <v>0</v>
      </c>
      <c r="K428" s="117"/>
      <c r="L428" s="32">
        <f t="shared" si="108"/>
        <v>0</v>
      </c>
      <c r="M428" s="116">
        <f>M429+M430+M431+M432+M433+M434</f>
        <v>0</v>
      </c>
      <c r="N428" s="117"/>
      <c r="O428" s="32">
        <f t="shared" si="109"/>
        <v>0</v>
      </c>
      <c r="P428" s="32">
        <f t="shared" si="110"/>
        <v>718</v>
      </c>
      <c r="Q428" s="98"/>
      <c r="R428" s="98"/>
      <c r="IP428" s="100"/>
      <c r="IQ428" s="100"/>
      <c r="IR428" s="100"/>
      <c r="IS428" s="100"/>
      <c r="IT428" s="100"/>
    </row>
    <row r="429" spans="1:254" s="99" customFormat="1" ht="16.5" customHeight="1" hidden="1">
      <c r="A429" s="41" t="s">
        <v>61</v>
      </c>
      <c r="B429" s="88"/>
      <c r="C429" s="83">
        <v>224</v>
      </c>
      <c r="D429" s="83">
        <v>80</v>
      </c>
      <c r="E429" s="84"/>
      <c r="F429" s="32">
        <f t="shared" si="106"/>
        <v>80</v>
      </c>
      <c r="G429" s="83">
        <v>144</v>
      </c>
      <c r="H429" s="84"/>
      <c r="I429" s="32">
        <f t="shared" si="107"/>
        <v>144</v>
      </c>
      <c r="J429" s="83">
        <v>0</v>
      </c>
      <c r="K429" s="84"/>
      <c r="L429" s="32">
        <f t="shared" si="108"/>
        <v>0</v>
      </c>
      <c r="M429" s="83">
        <v>0</v>
      </c>
      <c r="N429" s="84"/>
      <c r="O429" s="32">
        <f t="shared" si="109"/>
        <v>0</v>
      </c>
      <c r="P429" s="32">
        <f t="shared" si="110"/>
        <v>224</v>
      </c>
      <c r="Q429" s="98"/>
      <c r="R429" s="98"/>
      <c r="IP429" s="100"/>
      <c r="IQ429" s="100"/>
      <c r="IR429" s="100"/>
      <c r="IS429" s="100"/>
      <c r="IT429" s="100"/>
    </row>
    <row r="430" spans="1:254" s="99" customFormat="1" ht="16.5" customHeight="1" hidden="1">
      <c r="A430" s="41" t="s">
        <v>62</v>
      </c>
      <c r="B430" s="88"/>
      <c r="C430" s="83">
        <f>SUM(D430:J430)</f>
        <v>0</v>
      </c>
      <c r="D430" s="83">
        <v>0</v>
      </c>
      <c r="E430" s="84"/>
      <c r="F430" s="32">
        <f t="shared" si="106"/>
        <v>0</v>
      </c>
      <c r="G430" s="83">
        <v>0</v>
      </c>
      <c r="H430" s="84"/>
      <c r="I430" s="32">
        <f t="shared" si="107"/>
        <v>0</v>
      </c>
      <c r="J430" s="83">
        <v>0</v>
      </c>
      <c r="K430" s="84"/>
      <c r="L430" s="32">
        <f t="shared" si="108"/>
        <v>0</v>
      </c>
      <c r="M430" s="83">
        <v>0</v>
      </c>
      <c r="N430" s="84"/>
      <c r="O430" s="32">
        <f t="shared" si="109"/>
        <v>0</v>
      </c>
      <c r="P430" s="32">
        <f t="shared" si="110"/>
        <v>0</v>
      </c>
      <c r="Q430" s="98"/>
      <c r="R430" s="98"/>
      <c r="IP430" s="100"/>
      <c r="IQ430" s="100"/>
      <c r="IR430" s="100"/>
      <c r="IS430" s="100"/>
      <c r="IT430" s="100"/>
    </row>
    <row r="431" spans="1:254" s="99" customFormat="1" ht="16.5" customHeight="1" hidden="1">
      <c r="A431" s="41" t="s">
        <v>63</v>
      </c>
      <c r="B431" s="88"/>
      <c r="C431" s="83">
        <v>56</v>
      </c>
      <c r="D431" s="83">
        <v>20</v>
      </c>
      <c r="E431" s="84"/>
      <c r="F431" s="32">
        <f t="shared" si="106"/>
        <v>20</v>
      </c>
      <c r="G431" s="83">
        <v>36</v>
      </c>
      <c r="H431" s="84"/>
      <c r="I431" s="32">
        <f t="shared" si="107"/>
        <v>36</v>
      </c>
      <c r="J431" s="83">
        <v>0</v>
      </c>
      <c r="K431" s="84"/>
      <c r="L431" s="32">
        <f t="shared" si="108"/>
        <v>0</v>
      </c>
      <c r="M431" s="83">
        <v>0</v>
      </c>
      <c r="N431" s="84"/>
      <c r="O431" s="32">
        <f t="shared" si="109"/>
        <v>0</v>
      </c>
      <c r="P431" s="32">
        <f t="shared" si="110"/>
        <v>56</v>
      </c>
      <c r="Q431" s="98"/>
      <c r="R431" s="98"/>
      <c r="IP431" s="100"/>
      <c r="IQ431" s="100"/>
      <c r="IR431" s="100"/>
      <c r="IS431" s="100"/>
      <c r="IT431" s="100"/>
    </row>
    <row r="432" spans="1:254" s="99" customFormat="1" ht="33" customHeight="1">
      <c r="A432" s="78" t="s">
        <v>103</v>
      </c>
      <c r="B432" s="25" t="s">
        <v>110</v>
      </c>
      <c r="C432" s="116">
        <f>SUM(C433:C435)</f>
        <v>238</v>
      </c>
      <c r="D432" s="116">
        <f>SUM(D433:D435)</f>
        <v>119</v>
      </c>
      <c r="E432" s="117"/>
      <c r="F432" s="32">
        <f t="shared" si="106"/>
        <v>119</v>
      </c>
      <c r="G432" s="116">
        <f>SUM(G433:G435)</f>
        <v>119</v>
      </c>
      <c r="H432" s="117"/>
      <c r="I432" s="32">
        <f t="shared" si="107"/>
        <v>119</v>
      </c>
      <c r="J432" s="116">
        <f>SUM(J433:J435)</f>
        <v>0</v>
      </c>
      <c r="K432" s="117"/>
      <c r="L432" s="32">
        <f t="shared" si="108"/>
        <v>0</v>
      </c>
      <c r="M432" s="116">
        <f>SUM(M433:M435)</f>
        <v>0</v>
      </c>
      <c r="N432" s="117"/>
      <c r="O432" s="32">
        <f t="shared" si="109"/>
        <v>0</v>
      </c>
      <c r="P432" s="32">
        <f t="shared" si="110"/>
        <v>238</v>
      </c>
      <c r="Q432" s="98"/>
      <c r="R432" s="98"/>
      <c r="IP432" s="100"/>
      <c r="IQ432" s="100"/>
      <c r="IR432" s="100"/>
      <c r="IS432" s="100"/>
      <c r="IT432" s="100"/>
    </row>
    <row r="433" spans="1:254" s="99" customFormat="1" ht="16.5" customHeight="1">
      <c r="A433" s="46" t="s">
        <v>58</v>
      </c>
      <c r="B433" s="35" t="s">
        <v>22</v>
      </c>
      <c r="C433" s="83">
        <v>200</v>
      </c>
      <c r="D433" s="83">
        <v>100</v>
      </c>
      <c r="E433" s="84"/>
      <c r="F433" s="32">
        <f t="shared" si="106"/>
        <v>100</v>
      </c>
      <c r="G433" s="83">
        <v>100</v>
      </c>
      <c r="H433" s="84"/>
      <c r="I433" s="32">
        <f t="shared" si="107"/>
        <v>100</v>
      </c>
      <c r="J433" s="83">
        <v>0</v>
      </c>
      <c r="K433" s="84"/>
      <c r="L433" s="32">
        <f t="shared" si="108"/>
        <v>0</v>
      </c>
      <c r="M433" s="83">
        <v>0</v>
      </c>
      <c r="N433" s="84"/>
      <c r="O433" s="32">
        <f t="shared" si="109"/>
        <v>0</v>
      </c>
      <c r="P433" s="32">
        <f t="shared" si="110"/>
        <v>200</v>
      </c>
      <c r="Q433" s="98"/>
      <c r="R433" s="98"/>
      <c r="IP433" s="100"/>
      <c r="IQ433" s="100"/>
      <c r="IR433" s="100"/>
      <c r="IS433" s="100"/>
      <c r="IT433" s="100"/>
    </row>
    <row r="434" spans="1:254" s="99" customFormat="1" ht="16.5" customHeight="1">
      <c r="A434" s="46" t="s">
        <v>59</v>
      </c>
      <c r="B434" s="35" t="s">
        <v>24</v>
      </c>
      <c r="C434" s="83">
        <f>SUM(D434:J434)</f>
        <v>0</v>
      </c>
      <c r="D434" s="83">
        <v>0</v>
      </c>
      <c r="E434" s="84"/>
      <c r="F434" s="32">
        <f t="shared" si="106"/>
        <v>0</v>
      </c>
      <c r="G434" s="83">
        <v>0</v>
      </c>
      <c r="H434" s="84"/>
      <c r="I434" s="32">
        <f t="shared" si="107"/>
        <v>0</v>
      </c>
      <c r="J434" s="83">
        <v>0</v>
      </c>
      <c r="K434" s="84"/>
      <c r="L434" s="32">
        <f t="shared" si="108"/>
        <v>0</v>
      </c>
      <c r="M434" s="83">
        <v>0</v>
      </c>
      <c r="N434" s="84"/>
      <c r="O434" s="32">
        <f t="shared" si="109"/>
        <v>0</v>
      </c>
      <c r="P434" s="32">
        <f t="shared" si="110"/>
        <v>0</v>
      </c>
      <c r="Q434" s="98"/>
      <c r="R434" s="98"/>
      <c r="IP434" s="100"/>
      <c r="IQ434" s="100"/>
      <c r="IR434" s="100"/>
      <c r="IS434" s="100"/>
      <c r="IT434" s="100"/>
    </row>
    <row r="435" spans="1:254" s="99" customFormat="1" ht="16.5" customHeight="1">
      <c r="A435" s="41" t="s">
        <v>60</v>
      </c>
      <c r="B435" s="35" t="s">
        <v>26</v>
      </c>
      <c r="C435" s="83">
        <v>38</v>
      </c>
      <c r="D435" s="83">
        <v>19</v>
      </c>
      <c r="E435" s="84"/>
      <c r="F435" s="32">
        <f t="shared" si="106"/>
        <v>19</v>
      </c>
      <c r="G435" s="83">
        <v>19</v>
      </c>
      <c r="H435" s="84"/>
      <c r="I435" s="32">
        <f t="shared" si="107"/>
        <v>19</v>
      </c>
      <c r="J435" s="83">
        <v>0</v>
      </c>
      <c r="K435" s="84"/>
      <c r="L435" s="32">
        <f t="shared" si="108"/>
        <v>0</v>
      </c>
      <c r="M435" s="83">
        <v>0</v>
      </c>
      <c r="N435" s="84"/>
      <c r="O435" s="32">
        <f t="shared" si="109"/>
        <v>0</v>
      </c>
      <c r="P435" s="32">
        <f t="shared" si="110"/>
        <v>38</v>
      </c>
      <c r="Q435" s="98"/>
      <c r="R435" s="98"/>
      <c r="IP435" s="100"/>
      <c r="IQ435" s="100"/>
      <c r="IR435" s="100"/>
      <c r="IS435" s="100"/>
      <c r="IT435" s="100"/>
    </row>
    <row r="436" spans="1:254" s="99" customFormat="1" ht="16.5" customHeight="1" hidden="1">
      <c r="A436" s="41"/>
      <c r="B436" s="20"/>
      <c r="C436" s="83"/>
      <c r="D436" s="83"/>
      <c r="E436" s="84"/>
      <c r="F436" s="32">
        <f t="shared" si="106"/>
        <v>0</v>
      </c>
      <c r="G436" s="83"/>
      <c r="H436" s="84"/>
      <c r="I436" s="32">
        <f t="shared" si="107"/>
        <v>0</v>
      </c>
      <c r="J436" s="83"/>
      <c r="K436" s="84"/>
      <c r="L436" s="32">
        <f t="shared" si="108"/>
        <v>0</v>
      </c>
      <c r="M436" s="83"/>
      <c r="N436" s="84"/>
      <c r="O436" s="32">
        <f t="shared" si="109"/>
        <v>0</v>
      </c>
      <c r="P436" s="32">
        <f t="shared" si="110"/>
        <v>0</v>
      </c>
      <c r="Q436" s="98"/>
      <c r="R436" s="98"/>
      <c r="IP436" s="100"/>
      <c r="IQ436" s="100"/>
      <c r="IR436" s="100"/>
      <c r="IS436" s="100"/>
      <c r="IT436" s="100"/>
    </row>
    <row r="437" spans="1:254" s="99" customFormat="1" ht="16.5" customHeight="1" hidden="1">
      <c r="A437" s="42"/>
      <c r="B437" s="31"/>
      <c r="C437" s="83">
        <f>SUM(C438:C440)</f>
        <v>238</v>
      </c>
      <c r="D437" s="83">
        <f>SUM(D438:D440)</f>
        <v>119</v>
      </c>
      <c r="E437" s="84"/>
      <c r="F437" s="32">
        <f t="shared" si="106"/>
        <v>119</v>
      </c>
      <c r="G437" s="83">
        <f>SUM(G438:G440)</f>
        <v>119</v>
      </c>
      <c r="H437" s="84"/>
      <c r="I437" s="32">
        <f t="shared" si="107"/>
        <v>119</v>
      </c>
      <c r="J437" s="83">
        <f>SUM(J438:J440)</f>
        <v>0</v>
      </c>
      <c r="K437" s="84"/>
      <c r="L437" s="32">
        <f t="shared" si="108"/>
        <v>0</v>
      </c>
      <c r="M437" s="83">
        <f>SUM(M438:M440)</f>
        <v>0</v>
      </c>
      <c r="N437" s="84"/>
      <c r="O437" s="32">
        <f t="shared" si="109"/>
        <v>0</v>
      </c>
      <c r="P437" s="32">
        <f t="shared" si="110"/>
        <v>238</v>
      </c>
      <c r="Q437" s="98"/>
      <c r="R437" s="98"/>
      <c r="IP437" s="100"/>
      <c r="IQ437" s="100"/>
      <c r="IR437" s="100"/>
      <c r="IS437" s="100"/>
      <c r="IT437" s="100"/>
    </row>
    <row r="438" spans="1:254" s="99" customFormat="1" ht="16.5" customHeight="1" hidden="1">
      <c r="A438" s="41" t="s">
        <v>61</v>
      </c>
      <c r="B438" s="88"/>
      <c r="C438" s="83">
        <v>200</v>
      </c>
      <c r="D438" s="83">
        <v>100</v>
      </c>
      <c r="E438" s="84"/>
      <c r="F438" s="32">
        <f t="shared" si="106"/>
        <v>100</v>
      </c>
      <c r="G438" s="83">
        <v>100</v>
      </c>
      <c r="H438" s="84"/>
      <c r="I438" s="32">
        <f t="shared" si="107"/>
        <v>100</v>
      </c>
      <c r="J438" s="83">
        <v>0</v>
      </c>
      <c r="K438" s="84"/>
      <c r="L438" s="32">
        <f t="shared" si="108"/>
        <v>0</v>
      </c>
      <c r="M438" s="83">
        <v>0</v>
      </c>
      <c r="N438" s="84"/>
      <c r="O438" s="32">
        <f t="shared" si="109"/>
        <v>0</v>
      </c>
      <c r="P438" s="32">
        <f t="shared" si="110"/>
        <v>200</v>
      </c>
      <c r="Q438" s="98"/>
      <c r="R438" s="98"/>
      <c r="IP438" s="100"/>
      <c r="IQ438" s="100"/>
      <c r="IR438" s="100"/>
      <c r="IS438" s="100"/>
      <c r="IT438" s="100"/>
    </row>
    <row r="439" spans="1:254" s="99" customFormat="1" ht="16.5" customHeight="1" hidden="1">
      <c r="A439" s="41" t="s">
        <v>62</v>
      </c>
      <c r="B439" s="88"/>
      <c r="C439" s="83">
        <f>SUM(D439:J439)</f>
        <v>0</v>
      </c>
      <c r="D439" s="83">
        <v>0</v>
      </c>
      <c r="E439" s="84"/>
      <c r="F439" s="32">
        <f t="shared" si="106"/>
        <v>0</v>
      </c>
      <c r="G439" s="83">
        <v>0</v>
      </c>
      <c r="H439" s="84"/>
      <c r="I439" s="32">
        <f t="shared" si="107"/>
        <v>0</v>
      </c>
      <c r="J439" s="83">
        <v>0</v>
      </c>
      <c r="K439" s="84"/>
      <c r="L439" s="32">
        <f t="shared" si="108"/>
        <v>0</v>
      </c>
      <c r="M439" s="83">
        <v>0</v>
      </c>
      <c r="N439" s="84"/>
      <c r="O439" s="32">
        <f t="shared" si="109"/>
        <v>0</v>
      </c>
      <c r="P439" s="32">
        <f t="shared" si="110"/>
        <v>0</v>
      </c>
      <c r="Q439" s="98"/>
      <c r="R439" s="98"/>
      <c r="IP439" s="100"/>
      <c r="IQ439" s="100"/>
      <c r="IR439" s="100"/>
      <c r="IS439" s="100"/>
      <c r="IT439" s="100"/>
    </row>
    <row r="440" spans="1:254" s="99" customFormat="1" ht="16.5" customHeight="1" hidden="1">
      <c r="A440" s="41" t="s">
        <v>63</v>
      </c>
      <c r="B440" s="88"/>
      <c r="C440" s="83">
        <v>38</v>
      </c>
      <c r="D440" s="83">
        <v>19</v>
      </c>
      <c r="E440" s="84"/>
      <c r="F440" s="32">
        <f t="shared" si="106"/>
        <v>19</v>
      </c>
      <c r="G440" s="83">
        <v>19</v>
      </c>
      <c r="H440" s="84"/>
      <c r="I440" s="32">
        <f t="shared" si="107"/>
        <v>19</v>
      </c>
      <c r="J440" s="83">
        <v>0</v>
      </c>
      <c r="K440" s="84"/>
      <c r="L440" s="32">
        <f t="shared" si="108"/>
        <v>0</v>
      </c>
      <c r="M440" s="83">
        <v>0</v>
      </c>
      <c r="N440" s="84"/>
      <c r="O440" s="32">
        <f t="shared" si="109"/>
        <v>0</v>
      </c>
      <c r="P440" s="32">
        <f t="shared" si="110"/>
        <v>38</v>
      </c>
      <c r="Q440" s="98"/>
      <c r="R440" s="98"/>
      <c r="IP440" s="100"/>
      <c r="IQ440" s="100"/>
      <c r="IR440" s="100"/>
      <c r="IS440" s="100"/>
      <c r="IT440" s="100"/>
    </row>
    <row r="441" spans="1:254" s="80" customFormat="1" ht="29.25" customHeight="1">
      <c r="A441" s="78" t="s">
        <v>103</v>
      </c>
      <c r="B441" s="25" t="s">
        <v>111</v>
      </c>
      <c r="C441" s="44">
        <f aca="true" t="shared" si="111" ref="C441:C465">D441+G441+J441+M441</f>
        <v>4214</v>
      </c>
      <c r="D441" s="44">
        <f>D442+D443+D444</f>
        <v>2107</v>
      </c>
      <c r="E441" s="45"/>
      <c r="F441" s="32">
        <f t="shared" si="106"/>
        <v>2107</v>
      </c>
      <c r="G441" s="44">
        <f>G442+G443+G444</f>
        <v>2107</v>
      </c>
      <c r="H441" s="45"/>
      <c r="I441" s="32">
        <f t="shared" si="107"/>
        <v>2107</v>
      </c>
      <c r="J441" s="44">
        <f>J442+J443+J444</f>
        <v>0</v>
      </c>
      <c r="K441" s="45"/>
      <c r="L441" s="32">
        <f t="shared" si="108"/>
        <v>0</v>
      </c>
      <c r="M441" s="44">
        <f>M442+M443+M444</f>
        <v>0</v>
      </c>
      <c r="N441" s="45"/>
      <c r="O441" s="32">
        <f t="shared" si="109"/>
        <v>0</v>
      </c>
      <c r="P441" s="32">
        <f t="shared" si="110"/>
        <v>4214</v>
      </c>
      <c r="Q441" s="89"/>
      <c r="R441" s="89"/>
      <c r="IP441" s="81"/>
      <c r="IQ441" s="81"/>
      <c r="IR441" s="81"/>
      <c r="IS441" s="81"/>
      <c r="IT441" s="81"/>
    </row>
    <row r="442" spans="1:254" s="80" customFormat="1" ht="16.5" customHeight="1">
      <c r="A442" s="46" t="s">
        <v>34</v>
      </c>
      <c r="B442" s="82"/>
      <c r="C442" s="48">
        <f t="shared" si="111"/>
        <v>1354</v>
      </c>
      <c r="D442" s="83">
        <v>677</v>
      </c>
      <c r="E442" s="84"/>
      <c r="F442" s="32">
        <f aca="true" t="shared" si="112" ref="F442:F473">D442+E442</f>
        <v>677</v>
      </c>
      <c r="G442" s="83">
        <v>677</v>
      </c>
      <c r="H442" s="84"/>
      <c r="I442" s="32">
        <f aca="true" t="shared" si="113" ref="I442:I473">G442+H442</f>
        <v>677</v>
      </c>
      <c r="J442" s="83">
        <v>0</v>
      </c>
      <c r="K442" s="84"/>
      <c r="L442" s="32">
        <f aca="true" t="shared" si="114" ref="L442:L473">J442+K442</f>
        <v>0</v>
      </c>
      <c r="M442" s="83">
        <v>0</v>
      </c>
      <c r="N442" s="84"/>
      <c r="O442" s="32">
        <f aca="true" t="shared" si="115" ref="O442:O473">M442+N442</f>
        <v>0</v>
      </c>
      <c r="P442" s="32">
        <f aca="true" t="shared" si="116" ref="P442:P473">F442+I442+L442+O442</f>
        <v>1354</v>
      </c>
      <c r="Q442" s="89"/>
      <c r="R442" s="89"/>
      <c r="IP442" s="81"/>
      <c r="IQ442" s="81"/>
      <c r="IR442" s="81"/>
      <c r="IS442" s="81"/>
      <c r="IT442" s="81"/>
    </row>
    <row r="443" spans="1:254" s="80" customFormat="1" ht="16.5" customHeight="1">
      <c r="A443" s="46" t="s">
        <v>35</v>
      </c>
      <c r="B443" s="86"/>
      <c r="C443" s="48">
        <f t="shared" si="111"/>
        <v>1410</v>
      </c>
      <c r="D443" s="83">
        <v>705</v>
      </c>
      <c r="E443" s="84"/>
      <c r="F443" s="32">
        <f t="shared" si="112"/>
        <v>705</v>
      </c>
      <c r="G443" s="83">
        <v>705</v>
      </c>
      <c r="H443" s="84"/>
      <c r="I443" s="32">
        <f t="shared" si="113"/>
        <v>705</v>
      </c>
      <c r="J443" s="83">
        <v>0</v>
      </c>
      <c r="K443" s="84"/>
      <c r="L443" s="32">
        <f t="shared" si="114"/>
        <v>0</v>
      </c>
      <c r="M443" s="83">
        <v>0</v>
      </c>
      <c r="N443" s="84"/>
      <c r="O443" s="32">
        <f t="shared" si="115"/>
        <v>0</v>
      </c>
      <c r="P443" s="32">
        <f t="shared" si="116"/>
        <v>1410</v>
      </c>
      <c r="Q443" s="89"/>
      <c r="R443" s="89"/>
      <c r="IP443" s="81"/>
      <c r="IQ443" s="81"/>
      <c r="IR443" s="81"/>
      <c r="IS443" s="81"/>
      <c r="IT443" s="81"/>
    </row>
    <row r="444" spans="1:254" s="80" customFormat="1" ht="15.75" customHeight="1">
      <c r="A444" s="46" t="s">
        <v>36</v>
      </c>
      <c r="B444" s="87"/>
      <c r="C444" s="48">
        <f t="shared" si="111"/>
        <v>1450</v>
      </c>
      <c r="D444" s="83">
        <v>725</v>
      </c>
      <c r="E444" s="84"/>
      <c r="F444" s="32">
        <f t="shared" si="112"/>
        <v>725</v>
      </c>
      <c r="G444" s="83">
        <v>725</v>
      </c>
      <c r="H444" s="84"/>
      <c r="I444" s="32">
        <f t="shared" si="113"/>
        <v>725</v>
      </c>
      <c r="J444" s="83">
        <v>0</v>
      </c>
      <c r="K444" s="84"/>
      <c r="L444" s="32">
        <f t="shared" si="114"/>
        <v>0</v>
      </c>
      <c r="M444" s="83">
        <v>0</v>
      </c>
      <c r="N444" s="84"/>
      <c r="O444" s="32">
        <f t="shared" si="115"/>
        <v>0</v>
      </c>
      <c r="P444" s="32">
        <f t="shared" si="116"/>
        <v>1450</v>
      </c>
      <c r="Q444" s="89"/>
      <c r="R444" s="89"/>
      <c r="IP444" s="81"/>
      <c r="IQ444" s="81"/>
      <c r="IR444" s="81"/>
      <c r="IS444" s="81"/>
      <c r="IT444" s="81"/>
    </row>
    <row r="445" spans="1:254" s="80" customFormat="1" ht="16.5" customHeight="1" hidden="1">
      <c r="A445" s="41"/>
      <c r="B445" s="88"/>
      <c r="C445" s="44">
        <f t="shared" si="111"/>
        <v>0</v>
      </c>
      <c r="D445" s="83"/>
      <c r="E445" s="84"/>
      <c r="F445" s="32">
        <f t="shared" si="112"/>
        <v>0</v>
      </c>
      <c r="G445" s="83"/>
      <c r="H445" s="84"/>
      <c r="I445" s="32">
        <f t="shared" si="113"/>
        <v>0</v>
      </c>
      <c r="J445" s="83"/>
      <c r="K445" s="84"/>
      <c r="L445" s="32">
        <f t="shared" si="114"/>
        <v>0</v>
      </c>
      <c r="M445" s="83"/>
      <c r="N445" s="84"/>
      <c r="O445" s="32">
        <f t="shared" si="115"/>
        <v>0</v>
      </c>
      <c r="P445" s="32">
        <f t="shared" si="116"/>
        <v>0</v>
      </c>
      <c r="Q445" s="89"/>
      <c r="R445" s="89"/>
      <c r="IP445" s="81"/>
      <c r="IQ445" s="81"/>
      <c r="IR445" s="81"/>
      <c r="IS445" s="81"/>
      <c r="IT445" s="81"/>
    </row>
    <row r="446" spans="1:254" s="93" customFormat="1" ht="16.5" customHeight="1" hidden="1">
      <c r="A446" s="42"/>
      <c r="B446" s="31"/>
      <c r="C446" s="44">
        <f t="shared" si="111"/>
        <v>4214</v>
      </c>
      <c r="D446" s="116">
        <f>D447+D448+D449+D450</f>
        <v>2107</v>
      </c>
      <c r="E446" s="117"/>
      <c r="F446" s="32">
        <f t="shared" si="112"/>
        <v>2107</v>
      </c>
      <c r="G446" s="116">
        <f>G447+G448+G449+G450</f>
        <v>2107</v>
      </c>
      <c r="H446" s="117"/>
      <c r="I446" s="32">
        <f t="shared" si="113"/>
        <v>2107</v>
      </c>
      <c r="J446" s="116">
        <f>J447+J448+J449+J450</f>
        <v>0</v>
      </c>
      <c r="K446" s="117"/>
      <c r="L446" s="32">
        <f t="shared" si="114"/>
        <v>0</v>
      </c>
      <c r="M446" s="116">
        <f>M447+M448+M449+M450</f>
        <v>0</v>
      </c>
      <c r="N446" s="117"/>
      <c r="O446" s="32">
        <f t="shared" si="115"/>
        <v>0</v>
      </c>
      <c r="P446" s="32">
        <f t="shared" si="116"/>
        <v>4214</v>
      </c>
      <c r="Q446" s="92"/>
      <c r="R446" s="92"/>
      <c r="IP446" s="94"/>
      <c r="IQ446" s="94"/>
      <c r="IR446" s="94"/>
      <c r="IS446" s="94"/>
      <c r="IT446" s="94"/>
    </row>
    <row r="447" spans="1:254" s="80" customFormat="1" ht="16.5" customHeight="1" hidden="1">
      <c r="A447" s="41" t="s">
        <v>37</v>
      </c>
      <c r="B447" s="88"/>
      <c r="C447" s="44">
        <f t="shared" si="111"/>
        <v>272</v>
      </c>
      <c r="D447" s="83">
        <f>D441-D448-D450</f>
        <v>136</v>
      </c>
      <c r="E447" s="84"/>
      <c r="F447" s="32">
        <f t="shared" si="112"/>
        <v>136</v>
      </c>
      <c r="G447" s="83">
        <f>G441-G448-G450</f>
        <v>136</v>
      </c>
      <c r="H447" s="84"/>
      <c r="I447" s="32">
        <f t="shared" si="113"/>
        <v>136</v>
      </c>
      <c r="J447" s="83">
        <f>J441-J448-J450</f>
        <v>0</v>
      </c>
      <c r="K447" s="84"/>
      <c r="L447" s="32">
        <f t="shared" si="114"/>
        <v>0</v>
      </c>
      <c r="M447" s="83">
        <f>M441-M448-M450</f>
        <v>0</v>
      </c>
      <c r="N447" s="84"/>
      <c r="O447" s="32">
        <f t="shared" si="115"/>
        <v>0</v>
      </c>
      <c r="P447" s="32">
        <f t="shared" si="116"/>
        <v>272</v>
      </c>
      <c r="Q447" s="89"/>
      <c r="R447" s="89"/>
      <c r="IP447" s="81"/>
      <c r="IQ447" s="81"/>
      <c r="IR447" s="81"/>
      <c r="IS447" s="81"/>
      <c r="IT447" s="81"/>
    </row>
    <row r="448" spans="1:254" s="80" customFormat="1" ht="16.5" customHeight="1" hidden="1">
      <c r="A448" s="41" t="s">
        <v>38</v>
      </c>
      <c r="B448" s="88"/>
      <c r="C448" s="44">
        <f t="shared" si="111"/>
        <v>1410</v>
      </c>
      <c r="D448" s="83">
        <v>705</v>
      </c>
      <c r="E448" s="84"/>
      <c r="F448" s="32">
        <f t="shared" si="112"/>
        <v>705</v>
      </c>
      <c r="G448" s="83">
        <v>705</v>
      </c>
      <c r="H448" s="84"/>
      <c r="I448" s="32">
        <f t="shared" si="113"/>
        <v>705</v>
      </c>
      <c r="J448" s="83">
        <v>0</v>
      </c>
      <c r="K448" s="84"/>
      <c r="L448" s="32">
        <f t="shared" si="114"/>
        <v>0</v>
      </c>
      <c r="M448" s="83">
        <v>0</v>
      </c>
      <c r="N448" s="84"/>
      <c r="O448" s="32">
        <f t="shared" si="115"/>
        <v>0</v>
      </c>
      <c r="P448" s="32">
        <f t="shared" si="116"/>
        <v>1410</v>
      </c>
      <c r="Q448" s="89"/>
      <c r="R448" s="89"/>
      <c r="IP448" s="81"/>
      <c r="IQ448" s="81"/>
      <c r="IR448" s="81"/>
      <c r="IS448" s="81"/>
      <c r="IT448" s="81"/>
    </row>
    <row r="449" spans="1:254" s="80" customFormat="1" ht="16.5" customHeight="1" hidden="1">
      <c r="A449" s="41" t="s">
        <v>39</v>
      </c>
      <c r="B449" s="88"/>
      <c r="C449" s="44">
        <f t="shared" si="111"/>
        <v>0</v>
      </c>
      <c r="D449" s="83">
        <v>0</v>
      </c>
      <c r="E449" s="84"/>
      <c r="F449" s="32">
        <f t="shared" si="112"/>
        <v>0</v>
      </c>
      <c r="G449" s="83">
        <v>0</v>
      </c>
      <c r="H449" s="84"/>
      <c r="I449" s="32">
        <f t="shared" si="113"/>
        <v>0</v>
      </c>
      <c r="J449" s="83">
        <v>0</v>
      </c>
      <c r="K449" s="84"/>
      <c r="L449" s="32">
        <f t="shared" si="114"/>
        <v>0</v>
      </c>
      <c r="M449" s="83">
        <v>0</v>
      </c>
      <c r="N449" s="84"/>
      <c r="O449" s="32">
        <f t="shared" si="115"/>
        <v>0</v>
      </c>
      <c r="P449" s="32">
        <f t="shared" si="116"/>
        <v>0</v>
      </c>
      <c r="Q449" s="89"/>
      <c r="R449" s="89"/>
      <c r="IP449" s="81"/>
      <c r="IQ449" s="81"/>
      <c r="IR449" s="81"/>
      <c r="IS449" s="81"/>
      <c r="IT449" s="81"/>
    </row>
    <row r="450" spans="1:254" s="99" customFormat="1" ht="30" hidden="1">
      <c r="A450" s="52" t="s">
        <v>40</v>
      </c>
      <c r="B450" s="97"/>
      <c r="C450" s="44">
        <f t="shared" si="111"/>
        <v>2532</v>
      </c>
      <c r="D450" s="83">
        <f>D444+541</f>
        <v>1266</v>
      </c>
      <c r="E450" s="84"/>
      <c r="F450" s="32">
        <f t="shared" si="112"/>
        <v>1266</v>
      </c>
      <c r="G450" s="83">
        <f>G444+541</f>
        <v>1266</v>
      </c>
      <c r="H450" s="84"/>
      <c r="I450" s="32">
        <f t="shared" si="113"/>
        <v>1266</v>
      </c>
      <c r="J450" s="83">
        <v>0</v>
      </c>
      <c r="K450" s="84"/>
      <c r="L450" s="32">
        <f t="shared" si="114"/>
        <v>0</v>
      </c>
      <c r="M450" s="83">
        <v>0</v>
      </c>
      <c r="N450" s="84"/>
      <c r="O450" s="32">
        <f t="shared" si="115"/>
        <v>0</v>
      </c>
      <c r="P450" s="32">
        <f t="shared" si="116"/>
        <v>2532</v>
      </c>
      <c r="Q450" s="98"/>
      <c r="R450" s="98"/>
      <c r="IP450" s="100"/>
      <c r="IQ450" s="100"/>
      <c r="IR450" s="100"/>
      <c r="IS450" s="100"/>
      <c r="IT450" s="100"/>
    </row>
    <row r="451" spans="1:254" s="80" customFormat="1" ht="16.5" customHeight="1" hidden="1">
      <c r="A451" s="41"/>
      <c r="B451" s="88"/>
      <c r="C451" s="44">
        <f t="shared" si="111"/>
        <v>0</v>
      </c>
      <c r="D451" s="36"/>
      <c r="E451" s="37"/>
      <c r="F451" s="32">
        <f t="shared" si="112"/>
        <v>0</v>
      </c>
      <c r="G451" s="36"/>
      <c r="H451" s="37"/>
      <c r="I451" s="32">
        <f t="shared" si="113"/>
        <v>0</v>
      </c>
      <c r="J451" s="48"/>
      <c r="K451" s="56"/>
      <c r="L451" s="32">
        <f t="shared" si="114"/>
        <v>0</v>
      </c>
      <c r="M451" s="125"/>
      <c r="N451" s="126"/>
      <c r="O451" s="32">
        <f t="shared" si="115"/>
        <v>0</v>
      </c>
      <c r="P451" s="32">
        <f t="shared" si="116"/>
        <v>0</v>
      </c>
      <c r="Q451" s="89"/>
      <c r="R451" s="89"/>
      <c r="IP451" s="81"/>
      <c r="IQ451" s="81"/>
      <c r="IR451" s="81"/>
      <c r="IS451" s="81"/>
      <c r="IT451" s="81"/>
    </row>
    <row r="452" spans="1:254" s="80" customFormat="1" ht="30" customHeight="1">
      <c r="A452" s="78" t="s">
        <v>103</v>
      </c>
      <c r="B452" s="25" t="s">
        <v>112</v>
      </c>
      <c r="C452" s="44">
        <f t="shared" si="111"/>
        <v>4490</v>
      </c>
      <c r="D452" s="44">
        <f>D453+D454+D455</f>
        <v>2245</v>
      </c>
      <c r="E452" s="45"/>
      <c r="F452" s="32">
        <f t="shared" si="112"/>
        <v>2245</v>
      </c>
      <c r="G452" s="44">
        <f>G453+G454+G455</f>
        <v>2245</v>
      </c>
      <c r="H452" s="45"/>
      <c r="I452" s="32">
        <f t="shared" si="113"/>
        <v>2245</v>
      </c>
      <c r="J452" s="44">
        <f>J453+J454+J455</f>
        <v>0</v>
      </c>
      <c r="K452" s="45"/>
      <c r="L452" s="32">
        <f t="shared" si="114"/>
        <v>0</v>
      </c>
      <c r="M452" s="44">
        <f>M453+M454+M455</f>
        <v>0</v>
      </c>
      <c r="N452" s="45"/>
      <c r="O452" s="32">
        <f t="shared" si="115"/>
        <v>0</v>
      </c>
      <c r="P452" s="32">
        <f t="shared" si="116"/>
        <v>4490</v>
      </c>
      <c r="Q452" s="89"/>
      <c r="R452" s="89"/>
      <c r="IP452" s="81"/>
      <c r="IQ452" s="81"/>
      <c r="IR452" s="81"/>
      <c r="IS452" s="81"/>
      <c r="IT452" s="81"/>
    </row>
    <row r="453" spans="1:254" s="80" customFormat="1" ht="16.5" customHeight="1">
      <c r="A453" s="46" t="s">
        <v>34</v>
      </c>
      <c r="B453" s="82"/>
      <c r="C453" s="48">
        <f t="shared" si="111"/>
        <v>1294</v>
      </c>
      <c r="D453" s="83">
        <v>647</v>
      </c>
      <c r="E453" s="84"/>
      <c r="F453" s="32">
        <f t="shared" si="112"/>
        <v>647</v>
      </c>
      <c r="G453" s="83">
        <v>647</v>
      </c>
      <c r="H453" s="84"/>
      <c r="I453" s="32">
        <f t="shared" si="113"/>
        <v>647</v>
      </c>
      <c r="J453" s="83"/>
      <c r="K453" s="84"/>
      <c r="L453" s="32">
        <f t="shared" si="114"/>
        <v>0</v>
      </c>
      <c r="M453" s="83"/>
      <c r="N453" s="84"/>
      <c r="O453" s="32">
        <f t="shared" si="115"/>
        <v>0</v>
      </c>
      <c r="P453" s="32">
        <f t="shared" si="116"/>
        <v>1294</v>
      </c>
      <c r="Q453" s="89"/>
      <c r="R453" s="89"/>
      <c r="IP453" s="81"/>
      <c r="IQ453" s="81"/>
      <c r="IR453" s="81"/>
      <c r="IS453" s="81"/>
      <c r="IT453" s="81"/>
    </row>
    <row r="454" spans="1:254" s="80" customFormat="1" ht="16.5" customHeight="1">
      <c r="A454" s="46" t="s">
        <v>35</v>
      </c>
      <c r="B454" s="86"/>
      <c r="C454" s="48">
        <f t="shared" si="111"/>
        <v>1350</v>
      </c>
      <c r="D454" s="83">
        <v>675</v>
      </c>
      <c r="E454" s="84"/>
      <c r="F454" s="32">
        <f t="shared" si="112"/>
        <v>675</v>
      </c>
      <c r="G454" s="83">
        <v>675</v>
      </c>
      <c r="H454" s="84"/>
      <c r="I454" s="32">
        <f t="shared" si="113"/>
        <v>675</v>
      </c>
      <c r="J454" s="83"/>
      <c r="K454" s="84"/>
      <c r="L454" s="32">
        <f t="shared" si="114"/>
        <v>0</v>
      </c>
      <c r="M454" s="83"/>
      <c r="N454" s="84"/>
      <c r="O454" s="32">
        <f t="shared" si="115"/>
        <v>0</v>
      </c>
      <c r="P454" s="32">
        <f t="shared" si="116"/>
        <v>1350</v>
      </c>
      <c r="Q454" s="89"/>
      <c r="R454" s="89"/>
      <c r="IP454" s="81"/>
      <c r="IQ454" s="81"/>
      <c r="IR454" s="81"/>
      <c r="IS454" s="81"/>
      <c r="IT454" s="81"/>
    </row>
    <row r="455" spans="1:254" s="80" customFormat="1" ht="15.75" customHeight="1">
      <c r="A455" s="46" t="s">
        <v>36</v>
      </c>
      <c r="B455" s="87"/>
      <c r="C455" s="48">
        <f t="shared" si="111"/>
        <v>1846</v>
      </c>
      <c r="D455" s="83">
        <v>923</v>
      </c>
      <c r="E455" s="84"/>
      <c r="F455" s="32">
        <f t="shared" si="112"/>
        <v>923</v>
      </c>
      <c r="G455" s="83">
        <v>923</v>
      </c>
      <c r="H455" s="84"/>
      <c r="I455" s="32">
        <f t="shared" si="113"/>
        <v>923</v>
      </c>
      <c r="J455" s="83"/>
      <c r="K455" s="84"/>
      <c r="L455" s="32">
        <f t="shared" si="114"/>
        <v>0</v>
      </c>
      <c r="M455" s="83"/>
      <c r="N455" s="84"/>
      <c r="O455" s="32">
        <f t="shared" si="115"/>
        <v>0</v>
      </c>
      <c r="P455" s="32">
        <f t="shared" si="116"/>
        <v>1846</v>
      </c>
      <c r="Q455" s="89"/>
      <c r="R455" s="89"/>
      <c r="IP455" s="81"/>
      <c r="IQ455" s="81"/>
      <c r="IR455" s="81"/>
      <c r="IS455" s="81"/>
      <c r="IT455" s="81"/>
    </row>
    <row r="456" spans="1:254" s="80" customFormat="1" ht="16.5" customHeight="1" hidden="1">
      <c r="A456" s="41"/>
      <c r="B456" s="88"/>
      <c r="C456" s="44">
        <f t="shared" si="111"/>
        <v>0</v>
      </c>
      <c r="D456" s="83"/>
      <c r="E456" s="84"/>
      <c r="F456" s="32">
        <f t="shared" si="112"/>
        <v>0</v>
      </c>
      <c r="G456" s="83"/>
      <c r="H456" s="84"/>
      <c r="I456" s="32">
        <f t="shared" si="113"/>
        <v>0</v>
      </c>
      <c r="J456" s="83"/>
      <c r="K456" s="84"/>
      <c r="L456" s="32">
        <f t="shared" si="114"/>
        <v>0</v>
      </c>
      <c r="M456" s="83"/>
      <c r="N456" s="84"/>
      <c r="O456" s="32">
        <f t="shared" si="115"/>
        <v>0</v>
      </c>
      <c r="P456" s="32">
        <f t="shared" si="116"/>
        <v>0</v>
      </c>
      <c r="Q456" s="89"/>
      <c r="R456" s="89"/>
      <c r="IP456" s="81"/>
      <c r="IQ456" s="81"/>
      <c r="IR456" s="81"/>
      <c r="IS456" s="81"/>
      <c r="IT456" s="81"/>
    </row>
    <row r="457" spans="1:254" s="93" customFormat="1" ht="16.5" customHeight="1" hidden="1">
      <c r="A457" s="42"/>
      <c r="B457" s="31"/>
      <c r="C457" s="44">
        <f t="shared" si="111"/>
        <v>4490</v>
      </c>
      <c r="D457" s="116">
        <f>D458+D459+D460+D461</f>
        <v>2245</v>
      </c>
      <c r="E457" s="117"/>
      <c r="F457" s="32">
        <f t="shared" si="112"/>
        <v>2245</v>
      </c>
      <c r="G457" s="116">
        <f>G458+G459+G460+G461</f>
        <v>2245</v>
      </c>
      <c r="H457" s="117"/>
      <c r="I457" s="32">
        <f t="shared" si="113"/>
        <v>2245</v>
      </c>
      <c r="J457" s="116">
        <f>J458+J459+J460+J461</f>
        <v>0</v>
      </c>
      <c r="K457" s="117"/>
      <c r="L457" s="32">
        <f t="shared" si="114"/>
        <v>0</v>
      </c>
      <c r="M457" s="116">
        <f>M458+M459+M460+M461</f>
        <v>0</v>
      </c>
      <c r="N457" s="117"/>
      <c r="O457" s="32">
        <f t="shared" si="115"/>
        <v>0</v>
      </c>
      <c r="P457" s="32">
        <f t="shared" si="116"/>
        <v>4490</v>
      </c>
      <c r="Q457" s="92"/>
      <c r="R457" s="92"/>
      <c r="IP457" s="94"/>
      <c r="IQ457" s="94"/>
      <c r="IR457" s="94"/>
      <c r="IS457" s="94"/>
      <c r="IT457" s="94"/>
    </row>
    <row r="458" spans="1:254" s="80" customFormat="1" ht="16.5" customHeight="1" hidden="1">
      <c r="A458" s="41" t="s">
        <v>37</v>
      </c>
      <c r="B458" s="88"/>
      <c r="C458" s="44">
        <f t="shared" si="111"/>
        <v>258</v>
      </c>
      <c r="D458" s="83">
        <v>129</v>
      </c>
      <c r="E458" s="84"/>
      <c r="F458" s="32">
        <f t="shared" si="112"/>
        <v>129</v>
      </c>
      <c r="G458" s="83">
        <v>129</v>
      </c>
      <c r="H458" s="84"/>
      <c r="I458" s="32">
        <f t="shared" si="113"/>
        <v>129</v>
      </c>
      <c r="J458" s="83"/>
      <c r="K458" s="84"/>
      <c r="L458" s="32">
        <f t="shared" si="114"/>
        <v>0</v>
      </c>
      <c r="M458" s="83"/>
      <c r="N458" s="84"/>
      <c r="O458" s="32">
        <f t="shared" si="115"/>
        <v>0</v>
      </c>
      <c r="P458" s="32">
        <f t="shared" si="116"/>
        <v>258</v>
      </c>
      <c r="Q458" s="89"/>
      <c r="R458" s="89"/>
      <c r="IP458" s="81"/>
      <c r="IQ458" s="81"/>
      <c r="IR458" s="81"/>
      <c r="IS458" s="81"/>
      <c r="IT458" s="81"/>
    </row>
    <row r="459" spans="1:254" s="80" customFormat="1" ht="16.5" customHeight="1" hidden="1">
      <c r="A459" s="41" t="s">
        <v>38</v>
      </c>
      <c r="B459" s="88"/>
      <c r="C459" s="44">
        <f t="shared" si="111"/>
        <v>1350</v>
      </c>
      <c r="D459" s="83">
        <v>675</v>
      </c>
      <c r="E459" s="84"/>
      <c r="F459" s="32">
        <f t="shared" si="112"/>
        <v>675</v>
      </c>
      <c r="G459" s="83">
        <v>675</v>
      </c>
      <c r="H459" s="84"/>
      <c r="I459" s="32">
        <f t="shared" si="113"/>
        <v>675</v>
      </c>
      <c r="J459" s="83"/>
      <c r="K459" s="84"/>
      <c r="L459" s="32">
        <f t="shared" si="114"/>
        <v>0</v>
      </c>
      <c r="M459" s="83"/>
      <c r="N459" s="84"/>
      <c r="O459" s="32">
        <f t="shared" si="115"/>
        <v>0</v>
      </c>
      <c r="P459" s="32">
        <f t="shared" si="116"/>
        <v>1350</v>
      </c>
      <c r="Q459" s="89"/>
      <c r="R459" s="89"/>
      <c r="IP459" s="81"/>
      <c r="IQ459" s="81"/>
      <c r="IR459" s="81"/>
      <c r="IS459" s="81"/>
      <c r="IT459" s="81"/>
    </row>
    <row r="460" spans="1:254" s="80" customFormat="1" ht="16.5" customHeight="1" hidden="1">
      <c r="A460" s="41" t="s">
        <v>39</v>
      </c>
      <c r="B460" s="88"/>
      <c r="C460" s="44">
        <f t="shared" si="111"/>
        <v>0</v>
      </c>
      <c r="D460" s="83">
        <v>0</v>
      </c>
      <c r="E460" s="84"/>
      <c r="F460" s="32">
        <f t="shared" si="112"/>
        <v>0</v>
      </c>
      <c r="G460" s="83">
        <v>0</v>
      </c>
      <c r="H460" s="84"/>
      <c r="I460" s="32">
        <f t="shared" si="113"/>
        <v>0</v>
      </c>
      <c r="J460" s="83"/>
      <c r="K460" s="84"/>
      <c r="L460" s="32">
        <f t="shared" si="114"/>
        <v>0</v>
      </c>
      <c r="M460" s="83"/>
      <c r="N460" s="84"/>
      <c r="O460" s="32">
        <f t="shared" si="115"/>
        <v>0</v>
      </c>
      <c r="P460" s="32">
        <f t="shared" si="116"/>
        <v>0</v>
      </c>
      <c r="Q460" s="89"/>
      <c r="R460" s="89"/>
      <c r="IP460" s="81"/>
      <c r="IQ460" s="81"/>
      <c r="IR460" s="81"/>
      <c r="IS460" s="81"/>
      <c r="IT460" s="81"/>
    </row>
    <row r="461" spans="1:254" s="99" customFormat="1" ht="30" hidden="1">
      <c r="A461" s="52" t="s">
        <v>40</v>
      </c>
      <c r="B461" s="97"/>
      <c r="C461" s="44">
        <f t="shared" si="111"/>
        <v>2882</v>
      </c>
      <c r="D461" s="83">
        <f>D455+518</f>
        <v>1441</v>
      </c>
      <c r="E461" s="84"/>
      <c r="F461" s="32">
        <f t="shared" si="112"/>
        <v>1441</v>
      </c>
      <c r="G461" s="83">
        <f>G455+518</f>
        <v>1441</v>
      </c>
      <c r="H461" s="84"/>
      <c r="I461" s="32">
        <f t="shared" si="113"/>
        <v>1441</v>
      </c>
      <c r="J461" s="83"/>
      <c r="K461" s="84"/>
      <c r="L461" s="32">
        <f t="shared" si="114"/>
        <v>0</v>
      </c>
      <c r="M461" s="83"/>
      <c r="N461" s="84"/>
      <c r="O461" s="32">
        <f t="shared" si="115"/>
        <v>0</v>
      </c>
      <c r="P461" s="32">
        <f t="shared" si="116"/>
        <v>2882</v>
      </c>
      <c r="Q461" s="98"/>
      <c r="R461" s="98"/>
      <c r="IP461" s="100"/>
      <c r="IQ461" s="100"/>
      <c r="IR461" s="100"/>
      <c r="IS461" s="100"/>
      <c r="IT461" s="100"/>
    </row>
    <row r="462" spans="1:254" s="99" customFormat="1" ht="30" customHeight="1">
      <c r="A462" s="78" t="s">
        <v>103</v>
      </c>
      <c r="B462" s="25" t="s">
        <v>113</v>
      </c>
      <c r="C462" s="44">
        <f t="shared" si="111"/>
        <v>5444</v>
      </c>
      <c r="D462" s="44">
        <f>D463+D464+D465</f>
        <v>2800</v>
      </c>
      <c r="E462" s="45"/>
      <c r="F462" s="32">
        <f t="shared" si="112"/>
        <v>2800</v>
      </c>
      <c r="G462" s="44">
        <f>G463+G464+G465</f>
        <v>923</v>
      </c>
      <c r="H462" s="45"/>
      <c r="I462" s="32">
        <f t="shared" si="113"/>
        <v>923</v>
      </c>
      <c r="J462" s="44">
        <f>J463+J464+J465</f>
        <v>1721</v>
      </c>
      <c r="K462" s="45"/>
      <c r="L462" s="32">
        <f t="shared" si="114"/>
        <v>1721</v>
      </c>
      <c r="M462" s="44">
        <f>M463+M464+M465</f>
        <v>0</v>
      </c>
      <c r="N462" s="45"/>
      <c r="O462" s="32">
        <f t="shared" si="115"/>
        <v>0</v>
      </c>
      <c r="P462" s="32">
        <f t="shared" si="116"/>
        <v>5444</v>
      </c>
      <c r="Q462" s="98"/>
      <c r="R462" s="98"/>
      <c r="IP462" s="100"/>
      <c r="IQ462" s="100"/>
      <c r="IR462" s="100"/>
      <c r="IS462" s="100"/>
      <c r="IT462" s="100"/>
    </row>
    <row r="463" spans="1:254" s="99" customFormat="1" ht="16.5" customHeight="1">
      <c r="A463" s="46" t="s">
        <v>34</v>
      </c>
      <c r="B463" s="47"/>
      <c r="C463" s="83">
        <f t="shared" si="111"/>
        <v>1824</v>
      </c>
      <c r="D463" s="83">
        <v>1372</v>
      </c>
      <c r="E463" s="84"/>
      <c r="F463" s="32">
        <f t="shared" si="112"/>
        <v>1372</v>
      </c>
      <c r="G463" s="83">
        <v>452</v>
      </c>
      <c r="H463" s="84"/>
      <c r="I463" s="32">
        <f t="shared" si="113"/>
        <v>452</v>
      </c>
      <c r="J463" s="83">
        <v>0</v>
      </c>
      <c r="K463" s="84"/>
      <c r="L463" s="32">
        <f t="shared" si="114"/>
        <v>0</v>
      </c>
      <c r="M463" s="83">
        <v>0</v>
      </c>
      <c r="N463" s="84"/>
      <c r="O463" s="32">
        <f t="shared" si="115"/>
        <v>0</v>
      </c>
      <c r="P463" s="32">
        <f t="shared" si="116"/>
        <v>1824</v>
      </c>
      <c r="Q463" s="98"/>
      <c r="R463" s="98"/>
      <c r="IP463" s="100"/>
      <c r="IQ463" s="100"/>
      <c r="IR463" s="100"/>
      <c r="IS463" s="100"/>
      <c r="IT463" s="100"/>
    </row>
    <row r="464" spans="1:254" s="99" customFormat="1" ht="16.5" customHeight="1">
      <c r="A464" s="46" t="s">
        <v>35</v>
      </c>
      <c r="B464" s="49"/>
      <c r="C464" s="83">
        <f t="shared" si="111"/>
        <v>1899</v>
      </c>
      <c r="D464" s="83">
        <v>1428</v>
      </c>
      <c r="E464" s="84"/>
      <c r="F464" s="32">
        <f t="shared" si="112"/>
        <v>1428</v>
      </c>
      <c r="G464" s="83">
        <v>471</v>
      </c>
      <c r="H464" s="84"/>
      <c r="I464" s="32">
        <f t="shared" si="113"/>
        <v>471</v>
      </c>
      <c r="J464" s="83">
        <v>0</v>
      </c>
      <c r="K464" s="84"/>
      <c r="L464" s="32">
        <f t="shared" si="114"/>
        <v>0</v>
      </c>
      <c r="M464" s="83">
        <v>0</v>
      </c>
      <c r="N464" s="84"/>
      <c r="O464" s="32">
        <f t="shared" si="115"/>
        <v>0</v>
      </c>
      <c r="P464" s="32">
        <f t="shared" si="116"/>
        <v>1899</v>
      </c>
      <c r="Q464" s="98"/>
      <c r="R464" s="98"/>
      <c r="IP464" s="100"/>
      <c r="IQ464" s="100"/>
      <c r="IR464" s="100"/>
      <c r="IS464" s="100"/>
      <c r="IT464" s="100"/>
    </row>
    <row r="465" spans="1:254" s="99" customFormat="1" ht="16.5" customHeight="1">
      <c r="A465" s="41" t="s">
        <v>36</v>
      </c>
      <c r="B465" s="50"/>
      <c r="C465" s="83">
        <f t="shared" si="111"/>
        <v>1721</v>
      </c>
      <c r="D465" s="83">
        <v>0</v>
      </c>
      <c r="E465" s="84"/>
      <c r="F465" s="32">
        <f t="shared" si="112"/>
        <v>0</v>
      </c>
      <c r="G465" s="83">
        <v>0</v>
      </c>
      <c r="H465" s="84"/>
      <c r="I465" s="32">
        <f t="shared" si="113"/>
        <v>0</v>
      </c>
      <c r="J465" s="83">
        <v>1721</v>
      </c>
      <c r="K465" s="84"/>
      <c r="L465" s="32">
        <f t="shared" si="114"/>
        <v>1721</v>
      </c>
      <c r="M465" s="83">
        <v>0</v>
      </c>
      <c r="N465" s="84"/>
      <c r="O465" s="32">
        <f t="shared" si="115"/>
        <v>0</v>
      </c>
      <c r="P465" s="32">
        <f t="shared" si="116"/>
        <v>1721</v>
      </c>
      <c r="Q465" s="98"/>
      <c r="R465" s="98"/>
      <c r="IP465" s="100"/>
      <c r="IQ465" s="100"/>
      <c r="IR465" s="100"/>
      <c r="IS465" s="100"/>
      <c r="IT465" s="100"/>
    </row>
    <row r="466" spans="1:254" s="99" customFormat="1" ht="16.5" customHeight="1" hidden="1">
      <c r="A466" s="41"/>
      <c r="B466" s="88"/>
      <c r="C466" s="83"/>
      <c r="D466" s="83"/>
      <c r="E466" s="84"/>
      <c r="F466" s="32">
        <f t="shared" si="112"/>
        <v>0</v>
      </c>
      <c r="G466" s="83"/>
      <c r="H466" s="84"/>
      <c r="I466" s="32">
        <f t="shared" si="113"/>
        <v>0</v>
      </c>
      <c r="J466" s="83"/>
      <c r="K466" s="84"/>
      <c r="L466" s="32">
        <f t="shared" si="114"/>
        <v>0</v>
      </c>
      <c r="M466" s="83"/>
      <c r="N466" s="84"/>
      <c r="O466" s="32">
        <f t="shared" si="115"/>
        <v>0</v>
      </c>
      <c r="P466" s="32">
        <f t="shared" si="116"/>
        <v>0</v>
      </c>
      <c r="Q466" s="98"/>
      <c r="R466" s="98"/>
      <c r="IP466" s="100"/>
      <c r="IQ466" s="100"/>
      <c r="IR466" s="100"/>
      <c r="IS466" s="100"/>
      <c r="IT466" s="100"/>
    </row>
    <row r="467" spans="1:254" s="99" customFormat="1" ht="16.5" customHeight="1" hidden="1">
      <c r="A467" s="42"/>
      <c r="B467" s="31"/>
      <c r="C467" s="116">
        <f>C468+C469+C470+C471</f>
        <v>5444</v>
      </c>
      <c r="D467" s="116">
        <f>D468+D469+D470+D471</f>
        <v>2800</v>
      </c>
      <c r="E467" s="117"/>
      <c r="F467" s="32">
        <f t="shared" si="112"/>
        <v>2800</v>
      </c>
      <c r="G467" s="116">
        <f>G468+G469+G470+G471</f>
        <v>923</v>
      </c>
      <c r="H467" s="117"/>
      <c r="I467" s="32">
        <f t="shared" si="113"/>
        <v>923</v>
      </c>
      <c r="J467" s="116">
        <f>J468+J469+J470+J471</f>
        <v>1721</v>
      </c>
      <c r="K467" s="117"/>
      <c r="L467" s="32">
        <f t="shared" si="114"/>
        <v>1721</v>
      </c>
      <c r="M467" s="116">
        <f>M468+M469+M470+M471</f>
        <v>0</v>
      </c>
      <c r="N467" s="117"/>
      <c r="O467" s="32">
        <f t="shared" si="115"/>
        <v>0</v>
      </c>
      <c r="P467" s="32">
        <f t="shared" si="116"/>
        <v>5444</v>
      </c>
      <c r="Q467" s="98"/>
      <c r="R467" s="98"/>
      <c r="IP467" s="100"/>
      <c r="IQ467" s="100"/>
      <c r="IR467" s="100"/>
      <c r="IS467" s="100"/>
      <c r="IT467" s="100"/>
    </row>
    <row r="468" spans="1:254" s="99" customFormat="1" ht="16.5" customHeight="1" hidden="1">
      <c r="A468" s="41" t="s">
        <v>37</v>
      </c>
      <c r="B468" s="88"/>
      <c r="C468" s="83">
        <f aca="true" t="shared" si="117" ref="C468:C475">D468+G468+J468+M468</f>
        <v>335</v>
      </c>
      <c r="D468" s="83">
        <v>252</v>
      </c>
      <c r="E468" s="84"/>
      <c r="F468" s="32">
        <f t="shared" si="112"/>
        <v>252</v>
      </c>
      <c r="G468" s="83">
        <v>83</v>
      </c>
      <c r="H468" s="84"/>
      <c r="I468" s="32">
        <f t="shared" si="113"/>
        <v>83</v>
      </c>
      <c r="J468" s="83">
        <v>0</v>
      </c>
      <c r="K468" s="84"/>
      <c r="L468" s="32">
        <f t="shared" si="114"/>
        <v>0</v>
      </c>
      <c r="M468" s="83">
        <v>0</v>
      </c>
      <c r="N468" s="84"/>
      <c r="O468" s="32">
        <f t="shared" si="115"/>
        <v>0</v>
      </c>
      <c r="P468" s="32">
        <f t="shared" si="116"/>
        <v>335</v>
      </c>
      <c r="Q468" s="98"/>
      <c r="R468" s="98"/>
      <c r="IP468" s="100"/>
      <c r="IQ468" s="100"/>
      <c r="IR468" s="100"/>
      <c r="IS468" s="100"/>
      <c r="IT468" s="100"/>
    </row>
    <row r="469" spans="1:254" s="99" customFormat="1" ht="16.5" customHeight="1" hidden="1">
      <c r="A469" s="41" t="s">
        <v>38</v>
      </c>
      <c r="B469" s="88"/>
      <c r="C469" s="83">
        <f t="shared" si="117"/>
        <v>1899</v>
      </c>
      <c r="D469" s="83">
        <v>1428</v>
      </c>
      <c r="E469" s="84"/>
      <c r="F469" s="32">
        <f t="shared" si="112"/>
        <v>1428</v>
      </c>
      <c r="G469" s="83">
        <v>471</v>
      </c>
      <c r="H469" s="84"/>
      <c r="I469" s="32">
        <f t="shared" si="113"/>
        <v>471</v>
      </c>
      <c r="J469" s="83">
        <v>0</v>
      </c>
      <c r="K469" s="84"/>
      <c r="L469" s="32">
        <f t="shared" si="114"/>
        <v>0</v>
      </c>
      <c r="M469" s="83">
        <v>0</v>
      </c>
      <c r="N469" s="84"/>
      <c r="O469" s="32">
        <f t="shared" si="115"/>
        <v>0</v>
      </c>
      <c r="P469" s="32">
        <f t="shared" si="116"/>
        <v>1899</v>
      </c>
      <c r="Q469" s="98"/>
      <c r="R469" s="98"/>
      <c r="IP469" s="100"/>
      <c r="IQ469" s="100"/>
      <c r="IR469" s="100"/>
      <c r="IS469" s="100"/>
      <c r="IT469" s="100"/>
    </row>
    <row r="470" spans="1:254" s="99" customFormat="1" ht="16.5" customHeight="1" hidden="1">
      <c r="A470" s="41" t="s">
        <v>39</v>
      </c>
      <c r="B470" s="88"/>
      <c r="C470" s="83">
        <f t="shared" si="117"/>
        <v>0</v>
      </c>
      <c r="D470" s="83">
        <v>0</v>
      </c>
      <c r="E470" s="84"/>
      <c r="F470" s="32">
        <f t="shared" si="112"/>
        <v>0</v>
      </c>
      <c r="G470" s="83">
        <v>0</v>
      </c>
      <c r="H470" s="84"/>
      <c r="I470" s="32">
        <f t="shared" si="113"/>
        <v>0</v>
      </c>
      <c r="J470" s="83">
        <v>0</v>
      </c>
      <c r="K470" s="84"/>
      <c r="L470" s="32">
        <f t="shared" si="114"/>
        <v>0</v>
      </c>
      <c r="M470" s="83">
        <v>0</v>
      </c>
      <c r="N470" s="84"/>
      <c r="O470" s="32">
        <f t="shared" si="115"/>
        <v>0</v>
      </c>
      <c r="P470" s="32">
        <f t="shared" si="116"/>
        <v>0</v>
      </c>
      <c r="Q470" s="98"/>
      <c r="R470" s="98"/>
      <c r="IP470" s="100"/>
      <c r="IQ470" s="100"/>
      <c r="IR470" s="100"/>
      <c r="IS470" s="100"/>
      <c r="IT470" s="100"/>
    </row>
    <row r="471" spans="1:254" s="99" customFormat="1" ht="27.75" customHeight="1" hidden="1">
      <c r="A471" s="52" t="s">
        <v>40</v>
      </c>
      <c r="B471" s="97"/>
      <c r="C471" s="83">
        <f t="shared" si="117"/>
        <v>3210</v>
      </c>
      <c r="D471" s="83">
        <v>1120</v>
      </c>
      <c r="E471" s="84"/>
      <c r="F471" s="32">
        <f t="shared" si="112"/>
        <v>1120</v>
      </c>
      <c r="G471" s="83">
        <v>369</v>
      </c>
      <c r="H471" s="84"/>
      <c r="I471" s="32">
        <f t="shared" si="113"/>
        <v>369</v>
      </c>
      <c r="J471" s="83">
        <v>1721</v>
      </c>
      <c r="K471" s="84"/>
      <c r="L471" s="32">
        <f t="shared" si="114"/>
        <v>1721</v>
      </c>
      <c r="M471" s="83">
        <v>0</v>
      </c>
      <c r="N471" s="84"/>
      <c r="O471" s="32">
        <f t="shared" si="115"/>
        <v>0</v>
      </c>
      <c r="P471" s="32">
        <f t="shared" si="116"/>
        <v>3210</v>
      </c>
      <c r="Q471" s="98"/>
      <c r="R471" s="98"/>
      <c r="IP471" s="100"/>
      <c r="IQ471" s="100"/>
      <c r="IR471" s="100"/>
      <c r="IS471" s="100"/>
      <c r="IT471" s="100"/>
    </row>
    <row r="472" spans="1:254" s="99" customFormat="1" ht="30" customHeight="1">
      <c r="A472" s="78" t="s">
        <v>103</v>
      </c>
      <c r="B472" s="25" t="s">
        <v>114</v>
      </c>
      <c r="C472" s="44">
        <f t="shared" si="117"/>
        <v>6780</v>
      </c>
      <c r="D472" s="44">
        <f>D473+D474+D475</f>
        <v>2696</v>
      </c>
      <c r="E472" s="45"/>
      <c r="F472" s="32">
        <f t="shared" si="112"/>
        <v>2696</v>
      </c>
      <c r="G472" s="44">
        <f>G473+G474+G475</f>
        <v>2042</v>
      </c>
      <c r="H472" s="45"/>
      <c r="I472" s="32">
        <f t="shared" si="113"/>
        <v>2042</v>
      </c>
      <c r="J472" s="44">
        <f>J473+J474+J475</f>
        <v>2042</v>
      </c>
      <c r="K472" s="45"/>
      <c r="L472" s="32">
        <f t="shared" si="114"/>
        <v>2042</v>
      </c>
      <c r="M472" s="44">
        <f>M473+M474+M475</f>
        <v>0</v>
      </c>
      <c r="N472" s="45"/>
      <c r="O472" s="32">
        <f t="shared" si="115"/>
        <v>0</v>
      </c>
      <c r="P472" s="32">
        <f t="shared" si="116"/>
        <v>6780</v>
      </c>
      <c r="Q472" s="98"/>
      <c r="R472" s="98"/>
      <c r="IP472" s="100"/>
      <c r="IQ472" s="100"/>
      <c r="IR472" s="100"/>
      <c r="IS472" s="100"/>
      <c r="IT472" s="100"/>
    </row>
    <row r="473" spans="1:254" s="99" customFormat="1" ht="16.5" customHeight="1">
      <c r="A473" s="46" t="s">
        <v>34</v>
      </c>
      <c r="B473" s="47"/>
      <c r="C473" s="83">
        <f t="shared" si="117"/>
        <v>1321</v>
      </c>
      <c r="D473" s="83">
        <v>1321</v>
      </c>
      <c r="E473" s="84"/>
      <c r="F473" s="32">
        <f t="shared" si="112"/>
        <v>1321</v>
      </c>
      <c r="G473" s="83">
        <v>0</v>
      </c>
      <c r="H473" s="84"/>
      <c r="I473" s="32">
        <f t="shared" si="113"/>
        <v>0</v>
      </c>
      <c r="J473" s="83">
        <v>0</v>
      </c>
      <c r="K473" s="84"/>
      <c r="L473" s="32">
        <f t="shared" si="114"/>
        <v>0</v>
      </c>
      <c r="M473" s="83">
        <v>0</v>
      </c>
      <c r="N473" s="84"/>
      <c r="O473" s="32">
        <f t="shared" si="115"/>
        <v>0</v>
      </c>
      <c r="P473" s="32">
        <f t="shared" si="116"/>
        <v>1321</v>
      </c>
      <c r="Q473" s="98"/>
      <c r="R473" s="98"/>
      <c r="IP473" s="100"/>
      <c r="IQ473" s="100"/>
      <c r="IR473" s="100"/>
      <c r="IS473" s="100"/>
      <c r="IT473" s="100"/>
    </row>
    <row r="474" spans="1:254" s="99" customFormat="1" ht="16.5" customHeight="1">
      <c r="A474" s="46" t="s">
        <v>35</v>
      </c>
      <c r="B474" s="49"/>
      <c r="C474" s="83">
        <f t="shared" si="117"/>
        <v>1375</v>
      </c>
      <c r="D474" s="83">
        <v>1375</v>
      </c>
      <c r="E474" s="84"/>
      <c r="F474" s="32">
        <f aca="true" t="shared" si="118" ref="F474:F481">D474+E474</f>
        <v>1375</v>
      </c>
      <c r="G474" s="83">
        <v>0</v>
      </c>
      <c r="H474" s="84"/>
      <c r="I474" s="32">
        <f aca="true" t="shared" si="119" ref="I474:I481">G474+H474</f>
        <v>0</v>
      </c>
      <c r="J474" s="83">
        <v>0</v>
      </c>
      <c r="K474" s="84"/>
      <c r="L474" s="32">
        <f aca="true" t="shared" si="120" ref="L474:L481">J474+K474</f>
        <v>0</v>
      </c>
      <c r="M474" s="83">
        <v>0</v>
      </c>
      <c r="N474" s="84"/>
      <c r="O474" s="32">
        <f aca="true" t="shared" si="121" ref="O474:O481">M474+N474</f>
        <v>0</v>
      </c>
      <c r="P474" s="32">
        <f aca="true" t="shared" si="122" ref="P474:P481">F474+I474+L474+O474</f>
        <v>1375</v>
      </c>
      <c r="Q474" s="98"/>
      <c r="R474" s="98"/>
      <c r="IP474" s="100"/>
      <c r="IQ474" s="100"/>
      <c r="IR474" s="100"/>
      <c r="IS474" s="100"/>
      <c r="IT474" s="100"/>
    </row>
    <row r="475" spans="1:254" s="99" customFormat="1" ht="16.5" customHeight="1">
      <c r="A475" s="41" t="s">
        <v>36</v>
      </c>
      <c r="B475" s="50"/>
      <c r="C475" s="83">
        <f t="shared" si="117"/>
        <v>4084</v>
      </c>
      <c r="D475" s="83">
        <v>0</v>
      </c>
      <c r="E475" s="84"/>
      <c r="F475" s="32">
        <f t="shared" si="118"/>
        <v>0</v>
      </c>
      <c r="G475" s="83">
        <v>2042</v>
      </c>
      <c r="H475" s="84"/>
      <c r="I475" s="32">
        <f t="shared" si="119"/>
        <v>2042</v>
      </c>
      <c r="J475" s="83">
        <v>2042</v>
      </c>
      <c r="K475" s="84"/>
      <c r="L475" s="32">
        <f t="shared" si="120"/>
        <v>2042</v>
      </c>
      <c r="M475" s="83">
        <v>0</v>
      </c>
      <c r="N475" s="84"/>
      <c r="O475" s="32">
        <f t="shared" si="121"/>
        <v>0</v>
      </c>
      <c r="P475" s="32">
        <f t="shared" si="122"/>
        <v>4084</v>
      </c>
      <c r="Q475" s="98"/>
      <c r="R475" s="98"/>
      <c r="IP475" s="100"/>
      <c r="IQ475" s="100"/>
      <c r="IR475" s="100"/>
      <c r="IS475" s="100"/>
      <c r="IT475" s="100"/>
    </row>
    <row r="476" spans="1:254" s="99" customFormat="1" ht="16.5" customHeight="1" hidden="1">
      <c r="A476" s="41"/>
      <c r="B476" s="88"/>
      <c r="C476" s="83"/>
      <c r="D476" s="83"/>
      <c r="E476" s="84"/>
      <c r="F476" s="32">
        <f t="shared" si="118"/>
        <v>0</v>
      </c>
      <c r="G476" s="83"/>
      <c r="H476" s="84"/>
      <c r="I476" s="32">
        <f t="shared" si="119"/>
        <v>0</v>
      </c>
      <c r="J476" s="83"/>
      <c r="K476" s="84"/>
      <c r="L476" s="32">
        <f t="shared" si="120"/>
        <v>0</v>
      </c>
      <c r="M476" s="83"/>
      <c r="N476" s="84"/>
      <c r="O476" s="32">
        <f t="shared" si="121"/>
        <v>0</v>
      </c>
      <c r="P476" s="32">
        <f t="shared" si="122"/>
        <v>0</v>
      </c>
      <c r="Q476" s="98"/>
      <c r="R476" s="98"/>
      <c r="IP476" s="100"/>
      <c r="IQ476" s="100"/>
      <c r="IR476" s="100"/>
      <c r="IS476" s="100"/>
      <c r="IT476" s="100"/>
    </row>
    <row r="477" spans="1:254" s="99" customFormat="1" ht="16.5" customHeight="1" hidden="1">
      <c r="A477" s="42"/>
      <c r="B477" s="31"/>
      <c r="C477" s="116">
        <f>C478+C479+C480+C481</f>
        <v>6780</v>
      </c>
      <c r="D477" s="116">
        <f>D478+D479+D480+D481</f>
        <v>2696</v>
      </c>
      <c r="E477" s="117"/>
      <c r="F477" s="32">
        <f t="shared" si="118"/>
        <v>2696</v>
      </c>
      <c r="G477" s="116">
        <f>G478+G479+G480+G481</f>
        <v>2042</v>
      </c>
      <c r="H477" s="117"/>
      <c r="I477" s="32">
        <f t="shared" si="119"/>
        <v>2042</v>
      </c>
      <c r="J477" s="116">
        <f>J478+J479+J480+J481</f>
        <v>2042</v>
      </c>
      <c r="K477" s="117"/>
      <c r="L477" s="32">
        <f t="shared" si="120"/>
        <v>2042</v>
      </c>
      <c r="M477" s="116">
        <f>M478+M479+M480+M481</f>
        <v>0</v>
      </c>
      <c r="N477" s="117"/>
      <c r="O477" s="32">
        <f t="shared" si="121"/>
        <v>0</v>
      </c>
      <c r="P477" s="32">
        <f t="shared" si="122"/>
        <v>6780</v>
      </c>
      <c r="Q477" s="98"/>
      <c r="R477" s="98"/>
      <c r="IP477" s="100"/>
      <c r="IQ477" s="100"/>
      <c r="IR477" s="100"/>
      <c r="IS477" s="100"/>
      <c r="IT477" s="100"/>
    </row>
    <row r="478" spans="1:254" s="99" customFormat="1" ht="19.5" customHeight="1" hidden="1">
      <c r="A478" s="41" t="s">
        <v>37</v>
      </c>
      <c r="B478" s="88"/>
      <c r="C478" s="83">
        <v>243</v>
      </c>
      <c r="D478" s="83">
        <v>243</v>
      </c>
      <c r="E478" s="84"/>
      <c r="F478" s="32">
        <f t="shared" si="118"/>
        <v>243</v>
      </c>
      <c r="G478" s="83">
        <v>0</v>
      </c>
      <c r="H478" s="84"/>
      <c r="I478" s="32">
        <f t="shared" si="119"/>
        <v>0</v>
      </c>
      <c r="J478" s="83">
        <v>0</v>
      </c>
      <c r="K478" s="84"/>
      <c r="L478" s="32">
        <f t="shared" si="120"/>
        <v>0</v>
      </c>
      <c r="M478" s="83">
        <v>0</v>
      </c>
      <c r="N478" s="84"/>
      <c r="O478" s="32">
        <f t="shared" si="121"/>
        <v>0</v>
      </c>
      <c r="P478" s="32">
        <f t="shared" si="122"/>
        <v>243</v>
      </c>
      <c r="Q478" s="98"/>
      <c r="R478" s="98"/>
      <c r="IP478" s="100"/>
      <c r="IQ478" s="100"/>
      <c r="IR478" s="100"/>
      <c r="IS478" s="100"/>
      <c r="IT478" s="100"/>
    </row>
    <row r="479" spans="1:254" s="99" customFormat="1" ht="18.75" customHeight="1" hidden="1">
      <c r="A479" s="41" t="s">
        <v>38</v>
      </c>
      <c r="B479" s="88"/>
      <c r="C479" s="83">
        <v>1375</v>
      </c>
      <c r="D479" s="83">
        <v>1375</v>
      </c>
      <c r="E479" s="84"/>
      <c r="F479" s="32">
        <f t="shared" si="118"/>
        <v>1375</v>
      </c>
      <c r="G479" s="83">
        <v>0</v>
      </c>
      <c r="H479" s="84"/>
      <c r="I479" s="32">
        <f t="shared" si="119"/>
        <v>0</v>
      </c>
      <c r="J479" s="83">
        <v>0</v>
      </c>
      <c r="K479" s="84"/>
      <c r="L479" s="32">
        <f t="shared" si="120"/>
        <v>0</v>
      </c>
      <c r="M479" s="83">
        <v>0</v>
      </c>
      <c r="N479" s="84"/>
      <c r="O479" s="32">
        <f t="shared" si="121"/>
        <v>0</v>
      </c>
      <c r="P479" s="32">
        <f t="shared" si="122"/>
        <v>1375</v>
      </c>
      <c r="Q479" s="98"/>
      <c r="R479" s="98"/>
      <c r="IP479" s="100"/>
      <c r="IQ479" s="100"/>
      <c r="IR479" s="100"/>
      <c r="IS479" s="100"/>
      <c r="IT479" s="100"/>
    </row>
    <row r="480" spans="1:254" s="99" customFormat="1" ht="18.75" customHeight="1" hidden="1">
      <c r="A480" s="41" t="s">
        <v>39</v>
      </c>
      <c r="B480" s="88"/>
      <c r="C480" s="83">
        <v>0</v>
      </c>
      <c r="D480" s="83">
        <v>0</v>
      </c>
      <c r="E480" s="84"/>
      <c r="F480" s="32">
        <f t="shared" si="118"/>
        <v>0</v>
      </c>
      <c r="G480" s="83">
        <v>0</v>
      </c>
      <c r="H480" s="84">
        <v>50</v>
      </c>
      <c r="I480" s="32">
        <f t="shared" si="119"/>
        <v>50</v>
      </c>
      <c r="J480" s="83">
        <v>0</v>
      </c>
      <c r="K480" s="84">
        <v>146</v>
      </c>
      <c r="L480" s="32">
        <f t="shared" si="120"/>
        <v>146</v>
      </c>
      <c r="M480" s="83">
        <v>0</v>
      </c>
      <c r="N480" s="84"/>
      <c r="O480" s="32">
        <f t="shared" si="121"/>
        <v>0</v>
      </c>
      <c r="P480" s="32">
        <f t="shared" si="122"/>
        <v>196</v>
      </c>
      <c r="Q480" s="98"/>
      <c r="R480" s="98"/>
      <c r="IP480" s="100"/>
      <c r="IQ480" s="100"/>
      <c r="IR480" s="100"/>
      <c r="IS480" s="100"/>
      <c r="IT480" s="100"/>
    </row>
    <row r="481" spans="1:254" s="99" customFormat="1" ht="26.25" customHeight="1" hidden="1">
      <c r="A481" s="52" t="s">
        <v>40</v>
      </c>
      <c r="B481" s="97"/>
      <c r="C481" s="83">
        <v>5162</v>
      </c>
      <c r="D481" s="83">
        <v>1078</v>
      </c>
      <c r="E481" s="84"/>
      <c r="F481" s="32">
        <f t="shared" si="118"/>
        <v>1078</v>
      </c>
      <c r="G481" s="83">
        <v>2042</v>
      </c>
      <c r="H481" s="84">
        <v>-50</v>
      </c>
      <c r="I481" s="32">
        <f t="shared" si="119"/>
        <v>1992</v>
      </c>
      <c r="J481" s="83">
        <v>2042</v>
      </c>
      <c r="K481" s="84">
        <v>-146</v>
      </c>
      <c r="L481" s="32">
        <f t="shared" si="120"/>
        <v>1896</v>
      </c>
      <c r="M481" s="83">
        <v>0</v>
      </c>
      <c r="N481" s="84"/>
      <c r="O481" s="32">
        <f t="shared" si="121"/>
        <v>0</v>
      </c>
      <c r="P481" s="32">
        <f t="shared" si="122"/>
        <v>4966</v>
      </c>
      <c r="Q481" s="98"/>
      <c r="R481" s="98"/>
      <c r="IP481" s="100"/>
      <c r="IQ481" s="100"/>
      <c r="IR481" s="100"/>
      <c r="IS481" s="100"/>
      <c r="IT481" s="100"/>
    </row>
    <row r="482" spans="1:254" s="93" customFormat="1" ht="16.5" customHeight="1">
      <c r="A482" s="177" t="s">
        <v>115</v>
      </c>
      <c r="B482" s="177"/>
      <c r="C482" s="32">
        <f aca="true" t="shared" si="123" ref="C482:P482">C371+C441+C452+C462+C472+C432+C423+C411+C402+C382</f>
        <v>37976</v>
      </c>
      <c r="D482" s="32">
        <f t="shared" si="123"/>
        <v>15310</v>
      </c>
      <c r="E482" s="33">
        <f t="shared" si="123"/>
        <v>0</v>
      </c>
      <c r="F482" s="32">
        <f t="shared" si="123"/>
        <v>15310</v>
      </c>
      <c r="G482" s="32">
        <f t="shared" si="123"/>
        <v>9641</v>
      </c>
      <c r="H482" s="33">
        <f t="shared" si="123"/>
        <v>0</v>
      </c>
      <c r="I482" s="32">
        <f t="shared" si="123"/>
        <v>9641</v>
      </c>
      <c r="J482" s="32">
        <f t="shared" si="123"/>
        <v>13025</v>
      </c>
      <c r="K482" s="33">
        <f t="shared" si="123"/>
        <v>0</v>
      </c>
      <c r="L482" s="32">
        <f t="shared" si="123"/>
        <v>13025</v>
      </c>
      <c r="M482" s="32">
        <f t="shared" si="123"/>
        <v>0</v>
      </c>
      <c r="N482" s="33">
        <f t="shared" si="123"/>
        <v>0</v>
      </c>
      <c r="O482" s="32">
        <f t="shared" si="123"/>
        <v>0</v>
      </c>
      <c r="P482" s="32">
        <f t="shared" si="123"/>
        <v>37976</v>
      </c>
      <c r="Q482" s="92"/>
      <c r="R482" s="92"/>
      <c r="S482" s="93">
        <v>2859</v>
      </c>
      <c r="T482" s="105">
        <f>C482-S482</f>
        <v>35117</v>
      </c>
      <c r="IP482" s="94"/>
      <c r="IQ482" s="94"/>
      <c r="IR482" s="94"/>
      <c r="IS482" s="94"/>
      <c r="IT482" s="94"/>
    </row>
    <row r="483" spans="1:254" s="93" customFormat="1" ht="16.5" customHeight="1">
      <c r="A483" s="180" t="s">
        <v>116</v>
      </c>
      <c r="B483" s="180"/>
      <c r="C483" s="32"/>
      <c r="D483" s="32"/>
      <c r="E483" s="32"/>
      <c r="F483" s="32"/>
      <c r="G483" s="32"/>
      <c r="H483" s="32"/>
      <c r="I483" s="32"/>
      <c r="J483" s="32"/>
      <c r="K483" s="32"/>
      <c r="L483" s="32"/>
      <c r="M483" s="32"/>
      <c r="N483" s="32"/>
      <c r="O483" s="32"/>
      <c r="P483" s="32"/>
      <c r="Q483" s="92"/>
      <c r="R483" s="92"/>
      <c r="T483" s="105"/>
      <c r="IP483" s="94"/>
      <c r="IQ483" s="94"/>
      <c r="IR483" s="94"/>
      <c r="IS483" s="94"/>
      <c r="IT483" s="94"/>
    </row>
    <row r="484" spans="1:254" s="93" customFormat="1" ht="28.5" customHeight="1">
      <c r="A484" s="120" t="s">
        <v>117</v>
      </c>
      <c r="B484" s="31" t="s">
        <v>118</v>
      </c>
      <c r="C484" s="116">
        <f aca="true" t="shared" si="124" ref="C484:P484">SUM(C485:C487)</f>
        <v>0</v>
      </c>
      <c r="D484" s="116">
        <f t="shared" si="124"/>
        <v>0</v>
      </c>
      <c r="E484" s="116">
        <f t="shared" si="124"/>
        <v>0</v>
      </c>
      <c r="F484" s="116">
        <f t="shared" si="124"/>
        <v>0</v>
      </c>
      <c r="G484" s="116">
        <f t="shared" si="124"/>
        <v>0</v>
      </c>
      <c r="H484" s="116">
        <f t="shared" si="124"/>
        <v>50</v>
      </c>
      <c r="I484" s="116">
        <f t="shared" si="124"/>
        <v>50</v>
      </c>
      <c r="J484" s="116">
        <f t="shared" si="124"/>
        <v>0</v>
      </c>
      <c r="K484" s="116">
        <f t="shared" si="124"/>
        <v>146</v>
      </c>
      <c r="L484" s="116">
        <f t="shared" si="124"/>
        <v>146</v>
      </c>
      <c r="M484" s="116">
        <f t="shared" si="124"/>
        <v>0</v>
      </c>
      <c r="N484" s="116">
        <f t="shared" si="124"/>
        <v>0</v>
      </c>
      <c r="O484" s="116">
        <f t="shared" si="124"/>
        <v>0</v>
      </c>
      <c r="P484" s="116">
        <f t="shared" si="124"/>
        <v>196</v>
      </c>
      <c r="Q484" s="92"/>
      <c r="R484" s="92"/>
      <c r="T484" s="105"/>
      <c r="IP484" s="94"/>
      <c r="IQ484" s="94"/>
      <c r="IR484" s="94"/>
      <c r="IS484" s="94"/>
      <c r="IT484" s="94"/>
    </row>
    <row r="485" spans="1:254" s="99" customFormat="1" ht="16.5" customHeight="1">
      <c r="A485" s="46" t="s">
        <v>58</v>
      </c>
      <c r="B485" s="35" t="s">
        <v>22</v>
      </c>
      <c r="C485" s="83">
        <v>0</v>
      </c>
      <c r="D485" s="83">
        <v>0</v>
      </c>
      <c r="E485" s="84"/>
      <c r="F485" s="32">
        <f aca="true" t="shared" si="125" ref="F485:F493">D485+E485</f>
        <v>0</v>
      </c>
      <c r="G485" s="83">
        <v>0</v>
      </c>
      <c r="H485" s="84"/>
      <c r="I485" s="32">
        <f aca="true" t="shared" si="126" ref="I485:I493">G485+H485</f>
        <v>0</v>
      </c>
      <c r="J485" s="83">
        <v>0</v>
      </c>
      <c r="K485" s="84"/>
      <c r="L485" s="32">
        <f aca="true" t="shared" si="127" ref="L485:L493">J485+K485</f>
        <v>0</v>
      </c>
      <c r="M485" s="83">
        <v>0</v>
      </c>
      <c r="N485" s="84"/>
      <c r="O485" s="32">
        <f aca="true" t="shared" si="128" ref="O485:O493">M485+N485</f>
        <v>0</v>
      </c>
      <c r="P485" s="32">
        <f aca="true" t="shared" si="129" ref="P485:P493">F485+I485+L485+O485</f>
        <v>0</v>
      </c>
      <c r="Q485" s="98"/>
      <c r="R485" s="98"/>
      <c r="IP485" s="100"/>
      <c r="IQ485" s="100"/>
      <c r="IR485" s="100"/>
      <c r="IS485" s="100"/>
      <c r="IT485" s="100"/>
    </row>
    <row r="486" spans="1:254" s="99" customFormat="1" ht="16.5" customHeight="1">
      <c r="A486" s="46" t="s">
        <v>59</v>
      </c>
      <c r="B486" s="35" t="s">
        <v>29</v>
      </c>
      <c r="C486" s="83">
        <v>0</v>
      </c>
      <c r="D486" s="83">
        <v>0</v>
      </c>
      <c r="E486" s="84"/>
      <c r="F486" s="32">
        <f t="shared" si="125"/>
        <v>0</v>
      </c>
      <c r="G486" s="83">
        <v>0</v>
      </c>
      <c r="H486" s="84">
        <v>50</v>
      </c>
      <c r="I486" s="32">
        <f t="shared" si="126"/>
        <v>50</v>
      </c>
      <c r="J486" s="83">
        <v>0</v>
      </c>
      <c r="K486" s="84">
        <v>146</v>
      </c>
      <c r="L486" s="32">
        <f t="shared" si="127"/>
        <v>146</v>
      </c>
      <c r="M486" s="83">
        <v>0</v>
      </c>
      <c r="N486" s="84"/>
      <c r="O486" s="32">
        <f t="shared" si="128"/>
        <v>0</v>
      </c>
      <c r="P486" s="32">
        <f t="shared" si="129"/>
        <v>196</v>
      </c>
      <c r="Q486" s="98"/>
      <c r="R486" s="98"/>
      <c r="IP486" s="100"/>
      <c r="IQ486" s="100"/>
      <c r="IR486" s="100"/>
      <c r="IS486" s="100"/>
      <c r="IT486" s="100"/>
    </row>
    <row r="487" spans="1:254" s="99" customFormat="1" ht="16.5" customHeight="1">
      <c r="A487" s="41" t="s">
        <v>60</v>
      </c>
      <c r="B487" s="35" t="s">
        <v>26</v>
      </c>
      <c r="C487" s="83">
        <v>0</v>
      </c>
      <c r="D487" s="83">
        <v>0</v>
      </c>
      <c r="E487" s="84"/>
      <c r="F487" s="32">
        <f t="shared" si="125"/>
        <v>0</v>
      </c>
      <c r="G487" s="83">
        <v>0</v>
      </c>
      <c r="H487" s="84"/>
      <c r="I487" s="32">
        <f t="shared" si="126"/>
        <v>0</v>
      </c>
      <c r="J487" s="83">
        <v>0</v>
      </c>
      <c r="K487" s="84"/>
      <c r="L487" s="32">
        <f t="shared" si="127"/>
        <v>0</v>
      </c>
      <c r="M487" s="83">
        <v>0</v>
      </c>
      <c r="N487" s="84"/>
      <c r="O487" s="32">
        <f t="shared" si="128"/>
        <v>0</v>
      </c>
      <c r="P487" s="32">
        <f t="shared" si="129"/>
        <v>0</v>
      </c>
      <c r="Q487" s="98"/>
      <c r="R487" s="98"/>
      <c r="IP487" s="100"/>
      <c r="IQ487" s="100"/>
      <c r="IR487" s="100"/>
      <c r="IS487" s="100"/>
      <c r="IT487" s="100"/>
    </row>
    <row r="488" spans="1:254" s="99" customFormat="1" ht="16.5" customHeight="1" hidden="1">
      <c r="A488" s="41"/>
      <c r="B488" s="20"/>
      <c r="C488" s="83"/>
      <c r="D488" s="83"/>
      <c r="E488" s="84"/>
      <c r="F488" s="32">
        <f t="shared" si="125"/>
        <v>0</v>
      </c>
      <c r="G488" s="83"/>
      <c r="H488" s="84"/>
      <c r="I488" s="32">
        <f t="shared" si="126"/>
        <v>0</v>
      </c>
      <c r="J488" s="83"/>
      <c r="K488" s="84"/>
      <c r="L488" s="32">
        <f t="shared" si="127"/>
        <v>0</v>
      </c>
      <c r="M488" s="83"/>
      <c r="N488" s="84"/>
      <c r="O488" s="32">
        <f t="shared" si="128"/>
        <v>0</v>
      </c>
      <c r="P488" s="32">
        <f t="shared" si="129"/>
        <v>0</v>
      </c>
      <c r="Q488" s="98"/>
      <c r="R488" s="98"/>
      <c r="IP488" s="100"/>
      <c r="IQ488" s="100"/>
      <c r="IR488" s="100"/>
      <c r="IS488" s="100"/>
      <c r="IT488" s="100"/>
    </row>
    <row r="489" spans="1:254" s="99" customFormat="1" ht="16.5" customHeight="1" hidden="1">
      <c r="A489" s="42"/>
      <c r="B489" s="31"/>
      <c r="C489" s="83">
        <f>SUM(C490:C493)</f>
        <v>0</v>
      </c>
      <c r="D489" s="83">
        <f>SUM(D490:D493)</f>
        <v>0</v>
      </c>
      <c r="E489" s="84"/>
      <c r="F489" s="32">
        <f t="shared" si="125"/>
        <v>0</v>
      </c>
      <c r="G489" s="83">
        <f>SUM(G490:G493)</f>
        <v>0</v>
      </c>
      <c r="H489" s="84"/>
      <c r="I489" s="32">
        <f t="shared" si="126"/>
        <v>0</v>
      </c>
      <c r="J489" s="83">
        <f>SUM(J490:J493)</f>
        <v>0</v>
      </c>
      <c r="K489" s="84"/>
      <c r="L489" s="32">
        <f t="shared" si="127"/>
        <v>0</v>
      </c>
      <c r="M489" s="83">
        <f>SUM(M490:M493)</f>
        <v>0</v>
      </c>
      <c r="N489" s="84"/>
      <c r="O489" s="32">
        <f t="shared" si="128"/>
        <v>0</v>
      </c>
      <c r="P489" s="32">
        <f t="shared" si="129"/>
        <v>0</v>
      </c>
      <c r="Q489" s="98"/>
      <c r="R489" s="98"/>
      <c r="IP489" s="100"/>
      <c r="IQ489" s="100"/>
      <c r="IR489" s="100"/>
      <c r="IS489" s="100"/>
      <c r="IT489" s="100"/>
    </row>
    <row r="490" spans="1:254" s="99" customFormat="1" ht="16.5" customHeight="1" hidden="1">
      <c r="A490" s="41" t="s">
        <v>61</v>
      </c>
      <c r="B490" s="88"/>
      <c r="C490" s="83">
        <v>0</v>
      </c>
      <c r="D490" s="83">
        <v>0</v>
      </c>
      <c r="E490" s="84"/>
      <c r="F490" s="32">
        <f t="shared" si="125"/>
        <v>0</v>
      </c>
      <c r="G490" s="83">
        <v>0</v>
      </c>
      <c r="H490" s="84"/>
      <c r="I490" s="32">
        <f t="shared" si="126"/>
        <v>0</v>
      </c>
      <c r="J490" s="83">
        <v>0</v>
      </c>
      <c r="K490" s="84"/>
      <c r="L490" s="32">
        <f t="shared" si="127"/>
        <v>0</v>
      </c>
      <c r="M490" s="83">
        <v>0</v>
      </c>
      <c r="N490" s="84"/>
      <c r="O490" s="32">
        <f t="shared" si="128"/>
        <v>0</v>
      </c>
      <c r="P490" s="32">
        <f t="shared" si="129"/>
        <v>0</v>
      </c>
      <c r="Q490" s="98"/>
      <c r="R490" s="98"/>
      <c r="IP490" s="100"/>
      <c r="IQ490" s="100"/>
      <c r="IR490" s="100"/>
      <c r="IS490" s="100"/>
      <c r="IT490" s="100"/>
    </row>
    <row r="491" spans="1:254" s="99" customFormat="1" ht="16.5" customHeight="1" hidden="1">
      <c r="A491" s="41" t="s">
        <v>62</v>
      </c>
      <c r="B491" s="88"/>
      <c r="C491" s="83"/>
      <c r="D491" s="83"/>
      <c r="E491" s="84"/>
      <c r="F491" s="32"/>
      <c r="G491" s="83"/>
      <c r="H491" s="84"/>
      <c r="I491" s="32"/>
      <c r="J491" s="83"/>
      <c r="K491" s="84"/>
      <c r="L491" s="32"/>
      <c r="M491" s="83"/>
      <c r="N491" s="84"/>
      <c r="O491" s="32"/>
      <c r="P491" s="32"/>
      <c r="Q491" s="98"/>
      <c r="R491" s="98"/>
      <c r="IP491" s="100"/>
      <c r="IQ491" s="100"/>
      <c r="IR491" s="100"/>
      <c r="IS491" s="100"/>
      <c r="IT491" s="100"/>
    </row>
    <row r="492" spans="1:254" s="99" customFormat="1" ht="16.5" customHeight="1" hidden="1">
      <c r="A492" s="41" t="s">
        <v>63</v>
      </c>
      <c r="B492" s="88"/>
      <c r="C492" s="83">
        <f>SUM(D492:J492)</f>
        <v>0</v>
      </c>
      <c r="D492" s="83">
        <v>0</v>
      </c>
      <c r="E492" s="84"/>
      <c r="F492" s="32">
        <f t="shared" si="125"/>
        <v>0</v>
      </c>
      <c r="G492" s="83">
        <v>0</v>
      </c>
      <c r="H492" s="84"/>
      <c r="I492" s="32">
        <f t="shared" si="126"/>
        <v>0</v>
      </c>
      <c r="J492" s="83">
        <v>0</v>
      </c>
      <c r="K492" s="84"/>
      <c r="L492" s="32">
        <f t="shared" si="127"/>
        <v>0</v>
      </c>
      <c r="M492" s="83">
        <v>0</v>
      </c>
      <c r="N492" s="84"/>
      <c r="O492" s="32">
        <f t="shared" si="128"/>
        <v>0</v>
      </c>
      <c r="P492" s="32">
        <f t="shared" si="129"/>
        <v>0</v>
      </c>
      <c r="Q492" s="98"/>
      <c r="R492" s="98"/>
      <c r="IP492" s="100"/>
      <c r="IQ492" s="100"/>
      <c r="IR492" s="100"/>
      <c r="IS492" s="100"/>
      <c r="IT492" s="100"/>
    </row>
    <row r="493" spans="1:254" s="99" customFormat="1" ht="30" customHeight="1" hidden="1">
      <c r="A493" s="132" t="s">
        <v>40</v>
      </c>
      <c r="B493" s="133"/>
      <c r="C493" s="83">
        <v>0</v>
      </c>
      <c r="D493" s="83">
        <v>0</v>
      </c>
      <c r="E493" s="84"/>
      <c r="F493" s="32">
        <f t="shared" si="125"/>
        <v>0</v>
      </c>
      <c r="G493" s="83">
        <v>0</v>
      </c>
      <c r="H493" s="84">
        <v>50</v>
      </c>
      <c r="I493" s="32">
        <f t="shared" si="126"/>
        <v>50</v>
      </c>
      <c r="J493" s="83">
        <v>0</v>
      </c>
      <c r="K493" s="84">
        <v>146</v>
      </c>
      <c r="L493" s="32">
        <f t="shared" si="127"/>
        <v>146</v>
      </c>
      <c r="M493" s="83">
        <v>0</v>
      </c>
      <c r="N493" s="84"/>
      <c r="O493" s="32">
        <f t="shared" si="128"/>
        <v>0</v>
      </c>
      <c r="P493" s="32">
        <f t="shared" si="129"/>
        <v>196</v>
      </c>
      <c r="Q493" s="98"/>
      <c r="R493" s="98"/>
      <c r="IP493" s="100"/>
      <c r="IQ493" s="100"/>
      <c r="IR493" s="100"/>
      <c r="IS493" s="100"/>
      <c r="IT493" s="100"/>
    </row>
    <row r="494" spans="1:254" s="99" customFormat="1" ht="16.5" customHeight="1">
      <c r="A494" s="181" t="s">
        <v>119</v>
      </c>
      <c r="B494" s="181"/>
      <c r="C494" s="83">
        <f>C486</f>
        <v>0</v>
      </c>
      <c r="D494" s="83">
        <f>D484</f>
        <v>0</v>
      </c>
      <c r="E494" s="83">
        <f>E484</f>
        <v>0</v>
      </c>
      <c r="F494" s="83">
        <f>F484</f>
        <v>0</v>
      </c>
      <c r="G494" s="83">
        <f>G484</f>
        <v>0</v>
      </c>
      <c r="H494" s="83">
        <f>H486</f>
        <v>50</v>
      </c>
      <c r="I494" s="83">
        <f>I486</f>
        <v>50</v>
      </c>
      <c r="J494" s="83">
        <f aca="true" t="shared" si="130" ref="J494:O494">J484</f>
        <v>0</v>
      </c>
      <c r="K494" s="83">
        <f t="shared" si="130"/>
        <v>146</v>
      </c>
      <c r="L494" s="83">
        <f t="shared" si="130"/>
        <v>146</v>
      </c>
      <c r="M494" s="83">
        <f t="shared" si="130"/>
        <v>0</v>
      </c>
      <c r="N494" s="83">
        <f t="shared" si="130"/>
        <v>0</v>
      </c>
      <c r="O494" s="83">
        <f t="shared" si="130"/>
        <v>0</v>
      </c>
      <c r="P494" s="83">
        <f>P486</f>
        <v>196</v>
      </c>
      <c r="Q494" s="98"/>
      <c r="R494" s="98"/>
      <c r="IP494" s="100"/>
      <c r="IQ494" s="100"/>
      <c r="IR494" s="100"/>
      <c r="IS494" s="100"/>
      <c r="IT494" s="100"/>
    </row>
    <row r="495" spans="1:254" s="80" customFormat="1" ht="16.5" customHeight="1">
      <c r="A495" s="182" t="s">
        <v>120</v>
      </c>
      <c r="B495" s="182"/>
      <c r="C495" s="182"/>
      <c r="D495" s="44"/>
      <c r="E495" s="45"/>
      <c r="F495" s="32">
        <f aca="true" t="shared" si="131" ref="F495:F506">D495+E495</f>
        <v>0</v>
      </c>
      <c r="G495" s="44"/>
      <c r="H495" s="45"/>
      <c r="I495" s="32">
        <f aca="true" t="shared" si="132" ref="I495:I506">G495+H495</f>
        <v>0</v>
      </c>
      <c r="J495" s="116"/>
      <c r="K495" s="117"/>
      <c r="L495" s="32">
        <f aca="true" t="shared" si="133" ref="L495:L506">J495+K495</f>
        <v>0</v>
      </c>
      <c r="M495" s="116"/>
      <c r="N495" s="117"/>
      <c r="O495" s="32">
        <f aca="true" t="shared" si="134" ref="O495:O506">M495+N495</f>
        <v>0</v>
      </c>
      <c r="P495" s="32">
        <f aca="true" t="shared" si="135" ref="P495:P506">F495+I495+L495+O495</f>
        <v>0</v>
      </c>
      <c r="Q495" s="89"/>
      <c r="R495" s="89"/>
      <c r="IP495" s="81"/>
      <c r="IQ495" s="81"/>
      <c r="IR495" s="81"/>
      <c r="IS495" s="81"/>
      <c r="IT495" s="81"/>
    </row>
    <row r="496" spans="1:254" s="80" customFormat="1" ht="32.25" customHeight="1">
      <c r="A496" s="78" t="s">
        <v>121</v>
      </c>
      <c r="B496" s="25" t="s">
        <v>122</v>
      </c>
      <c r="C496" s="44">
        <v>0</v>
      </c>
      <c r="D496" s="44">
        <f>D497+D498+D499</f>
        <v>0</v>
      </c>
      <c r="E496" s="45"/>
      <c r="F496" s="32">
        <f t="shared" si="131"/>
        <v>0</v>
      </c>
      <c r="G496" s="44">
        <f>G497+G498+G499</f>
        <v>0</v>
      </c>
      <c r="H496" s="45"/>
      <c r="I496" s="32">
        <f t="shared" si="132"/>
        <v>0</v>
      </c>
      <c r="J496" s="44">
        <f>J497+J498+J499</f>
        <v>0</v>
      </c>
      <c r="K496" s="45"/>
      <c r="L496" s="32">
        <f t="shared" si="133"/>
        <v>0</v>
      </c>
      <c r="M496" s="44">
        <f>M497+M498+M499</f>
        <v>0</v>
      </c>
      <c r="N496" s="45"/>
      <c r="O496" s="32">
        <f t="shared" si="134"/>
        <v>0</v>
      </c>
      <c r="P496" s="32">
        <f t="shared" si="135"/>
        <v>0</v>
      </c>
      <c r="Q496" s="89"/>
      <c r="R496" s="89"/>
      <c r="IP496" s="81"/>
      <c r="IQ496" s="81"/>
      <c r="IR496" s="81"/>
      <c r="IS496" s="81"/>
      <c r="IT496" s="81"/>
    </row>
    <row r="497" spans="1:254" s="80" customFormat="1" ht="16.5" customHeight="1">
      <c r="A497" s="46" t="s">
        <v>123</v>
      </c>
      <c r="B497" s="88"/>
      <c r="C497" s="83">
        <v>0</v>
      </c>
      <c r="D497" s="83"/>
      <c r="E497" s="84"/>
      <c r="F497" s="32">
        <f t="shared" si="131"/>
        <v>0</v>
      </c>
      <c r="G497" s="83"/>
      <c r="H497" s="84"/>
      <c r="I497" s="32">
        <f t="shared" si="132"/>
        <v>0</v>
      </c>
      <c r="J497" s="83"/>
      <c r="K497" s="84"/>
      <c r="L497" s="32">
        <f t="shared" si="133"/>
        <v>0</v>
      </c>
      <c r="M497" s="83"/>
      <c r="N497" s="84"/>
      <c r="O497" s="32">
        <f t="shared" si="134"/>
        <v>0</v>
      </c>
      <c r="P497" s="32">
        <f t="shared" si="135"/>
        <v>0</v>
      </c>
      <c r="Q497" s="89"/>
      <c r="R497" s="89"/>
      <c r="IP497" s="81"/>
      <c r="IQ497" s="81"/>
      <c r="IR497" s="81"/>
      <c r="IS497" s="81"/>
      <c r="IT497" s="81"/>
    </row>
    <row r="498" spans="1:254" s="80" customFormat="1" ht="16.5" customHeight="1">
      <c r="A498" s="46" t="s">
        <v>124</v>
      </c>
      <c r="B498" s="88"/>
      <c r="C498" s="83">
        <v>0</v>
      </c>
      <c r="D498" s="83"/>
      <c r="E498" s="84"/>
      <c r="F498" s="32">
        <f t="shared" si="131"/>
        <v>0</v>
      </c>
      <c r="G498" s="83"/>
      <c r="H498" s="84"/>
      <c r="I498" s="32">
        <f t="shared" si="132"/>
        <v>0</v>
      </c>
      <c r="J498" s="83"/>
      <c r="K498" s="84"/>
      <c r="L498" s="32">
        <f t="shared" si="133"/>
        <v>0</v>
      </c>
      <c r="M498" s="83"/>
      <c r="N498" s="84"/>
      <c r="O498" s="32">
        <f t="shared" si="134"/>
        <v>0</v>
      </c>
      <c r="P498" s="32">
        <f t="shared" si="135"/>
        <v>0</v>
      </c>
      <c r="Q498" s="89"/>
      <c r="R498" s="89"/>
      <c r="IP498" s="81"/>
      <c r="IQ498" s="81"/>
      <c r="IR498" s="81"/>
      <c r="IS498" s="81"/>
      <c r="IT498" s="81"/>
    </row>
    <row r="499" spans="1:254" s="80" customFormat="1" ht="16.5" customHeight="1">
      <c r="A499" s="46" t="s">
        <v>125</v>
      </c>
      <c r="B499" s="88"/>
      <c r="C499" s="83">
        <v>0</v>
      </c>
      <c r="D499" s="83"/>
      <c r="E499" s="84"/>
      <c r="F499" s="32">
        <f t="shared" si="131"/>
        <v>0</v>
      </c>
      <c r="G499" s="83"/>
      <c r="H499" s="84"/>
      <c r="I499" s="32">
        <f t="shared" si="132"/>
        <v>0</v>
      </c>
      <c r="J499" s="83"/>
      <c r="K499" s="84"/>
      <c r="L499" s="32">
        <f t="shared" si="133"/>
        <v>0</v>
      </c>
      <c r="M499" s="83"/>
      <c r="N499" s="84"/>
      <c r="O499" s="32">
        <f t="shared" si="134"/>
        <v>0</v>
      </c>
      <c r="P499" s="32">
        <f t="shared" si="135"/>
        <v>0</v>
      </c>
      <c r="Q499" s="89"/>
      <c r="R499" s="89"/>
      <c r="IP499" s="81"/>
      <c r="IQ499" s="81"/>
      <c r="IR499" s="81"/>
      <c r="IS499" s="81"/>
      <c r="IT499" s="81"/>
    </row>
    <row r="500" spans="1:254" s="80" customFormat="1" ht="16.5" customHeight="1" hidden="1">
      <c r="A500" s="41"/>
      <c r="B500" s="88"/>
      <c r="C500" s="83"/>
      <c r="D500" s="83"/>
      <c r="E500" s="84"/>
      <c r="F500" s="32">
        <f t="shared" si="131"/>
        <v>0</v>
      </c>
      <c r="G500" s="83"/>
      <c r="H500" s="84"/>
      <c r="I500" s="32">
        <f t="shared" si="132"/>
        <v>0</v>
      </c>
      <c r="J500" s="83"/>
      <c r="K500" s="84"/>
      <c r="L500" s="32">
        <f t="shared" si="133"/>
        <v>0</v>
      </c>
      <c r="M500" s="83"/>
      <c r="N500" s="84"/>
      <c r="O500" s="32">
        <f t="shared" si="134"/>
        <v>0</v>
      </c>
      <c r="P500" s="32">
        <f t="shared" si="135"/>
        <v>0</v>
      </c>
      <c r="Q500" s="89"/>
      <c r="R500" s="89"/>
      <c r="IP500" s="81"/>
      <c r="IQ500" s="81"/>
      <c r="IR500" s="81"/>
      <c r="IS500" s="81"/>
      <c r="IT500" s="81"/>
    </row>
    <row r="501" spans="1:254" s="93" customFormat="1" ht="16.5" customHeight="1" hidden="1">
      <c r="A501" s="42"/>
      <c r="B501" s="31"/>
      <c r="C501" s="116">
        <v>0</v>
      </c>
      <c r="D501" s="116">
        <f>D502+D503+D504+D505</f>
        <v>0</v>
      </c>
      <c r="E501" s="117"/>
      <c r="F501" s="32">
        <f t="shared" si="131"/>
        <v>0</v>
      </c>
      <c r="G501" s="116">
        <f>G502+G503+G504+G505</f>
        <v>0</v>
      </c>
      <c r="H501" s="117"/>
      <c r="I501" s="32">
        <f t="shared" si="132"/>
        <v>0</v>
      </c>
      <c r="J501" s="116">
        <f>J502+J503+J504+J505</f>
        <v>0</v>
      </c>
      <c r="K501" s="117"/>
      <c r="L501" s="32">
        <f t="shared" si="133"/>
        <v>0</v>
      </c>
      <c r="M501" s="116">
        <f>M502+M503+M504+M505</f>
        <v>0</v>
      </c>
      <c r="N501" s="117"/>
      <c r="O501" s="32">
        <f t="shared" si="134"/>
        <v>0</v>
      </c>
      <c r="P501" s="32">
        <f t="shared" si="135"/>
        <v>0</v>
      </c>
      <c r="Q501" s="92"/>
      <c r="R501" s="92"/>
      <c r="IP501" s="94"/>
      <c r="IQ501" s="94"/>
      <c r="IR501" s="94"/>
      <c r="IS501" s="94"/>
      <c r="IT501" s="94"/>
    </row>
    <row r="502" spans="1:254" s="80" customFormat="1" ht="16.5" customHeight="1" hidden="1">
      <c r="A502" s="41" t="s">
        <v>37</v>
      </c>
      <c r="B502" s="88"/>
      <c r="C502" s="83">
        <v>0</v>
      </c>
      <c r="D502" s="83"/>
      <c r="E502" s="84"/>
      <c r="F502" s="32">
        <f t="shared" si="131"/>
        <v>0</v>
      </c>
      <c r="G502" s="83"/>
      <c r="H502" s="84"/>
      <c r="I502" s="32">
        <f t="shared" si="132"/>
        <v>0</v>
      </c>
      <c r="J502" s="83"/>
      <c r="K502" s="84"/>
      <c r="L502" s="32">
        <f t="shared" si="133"/>
        <v>0</v>
      </c>
      <c r="M502" s="83"/>
      <c r="N502" s="84"/>
      <c r="O502" s="32">
        <f t="shared" si="134"/>
        <v>0</v>
      </c>
      <c r="P502" s="32">
        <f t="shared" si="135"/>
        <v>0</v>
      </c>
      <c r="Q502" s="89"/>
      <c r="R502" s="89"/>
      <c r="IP502" s="81"/>
      <c r="IQ502" s="81"/>
      <c r="IR502" s="81"/>
      <c r="IS502" s="81"/>
      <c r="IT502" s="81"/>
    </row>
    <row r="503" spans="1:254" s="80" customFormat="1" ht="16.5" customHeight="1" hidden="1">
      <c r="A503" s="41" t="s">
        <v>126</v>
      </c>
      <c r="B503" s="88"/>
      <c r="C503" s="83">
        <v>0</v>
      </c>
      <c r="D503" s="83"/>
      <c r="E503" s="84"/>
      <c r="F503" s="32">
        <f t="shared" si="131"/>
        <v>0</v>
      </c>
      <c r="G503" s="83"/>
      <c r="H503" s="84"/>
      <c r="I503" s="32">
        <f t="shared" si="132"/>
        <v>0</v>
      </c>
      <c r="J503" s="83"/>
      <c r="K503" s="84"/>
      <c r="L503" s="32">
        <f t="shared" si="133"/>
        <v>0</v>
      </c>
      <c r="M503" s="83"/>
      <c r="N503" s="84"/>
      <c r="O503" s="32">
        <f t="shared" si="134"/>
        <v>0</v>
      </c>
      <c r="P503" s="32">
        <f t="shared" si="135"/>
        <v>0</v>
      </c>
      <c r="Q503" s="89"/>
      <c r="R503" s="89"/>
      <c r="IP503" s="81"/>
      <c r="IQ503" s="81"/>
      <c r="IR503" s="81"/>
      <c r="IS503" s="81"/>
      <c r="IT503" s="81"/>
    </row>
    <row r="504" spans="1:254" s="80" customFormat="1" ht="16.5" customHeight="1" hidden="1">
      <c r="A504" s="41" t="s">
        <v>127</v>
      </c>
      <c r="B504" s="88"/>
      <c r="C504" s="83">
        <v>0</v>
      </c>
      <c r="D504" s="83"/>
      <c r="E504" s="84"/>
      <c r="F504" s="32">
        <f t="shared" si="131"/>
        <v>0</v>
      </c>
      <c r="G504" s="83"/>
      <c r="H504" s="84"/>
      <c r="I504" s="32">
        <f t="shared" si="132"/>
        <v>0</v>
      </c>
      <c r="J504" s="83"/>
      <c r="K504" s="84"/>
      <c r="L504" s="32">
        <f t="shared" si="133"/>
        <v>0</v>
      </c>
      <c r="M504" s="83"/>
      <c r="N504" s="84"/>
      <c r="O504" s="32">
        <f t="shared" si="134"/>
        <v>0</v>
      </c>
      <c r="P504" s="32">
        <f t="shared" si="135"/>
        <v>0</v>
      </c>
      <c r="Q504" s="89"/>
      <c r="R504" s="89"/>
      <c r="IP504" s="81"/>
      <c r="IQ504" s="81"/>
      <c r="IR504" s="81"/>
      <c r="IS504" s="81"/>
      <c r="IT504" s="81"/>
    </row>
    <row r="505" spans="1:254" s="99" customFormat="1" ht="30" hidden="1">
      <c r="A505" s="52" t="s">
        <v>40</v>
      </c>
      <c r="B505" s="97"/>
      <c r="C505" s="83">
        <v>0</v>
      </c>
      <c r="D505" s="83"/>
      <c r="E505" s="84"/>
      <c r="F505" s="32">
        <f t="shared" si="131"/>
        <v>0</v>
      </c>
      <c r="G505" s="83"/>
      <c r="H505" s="84"/>
      <c r="I505" s="32">
        <f t="shared" si="132"/>
        <v>0</v>
      </c>
      <c r="J505" s="83"/>
      <c r="K505" s="84"/>
      <c r="L505" s="32">
        <f t="shared" si="133"/>
        <v>0</v>
      </c>
      <c r="M505" s="83"/>
      <c r="N505" s="84"/>
      <c r="O505" s="32">
        <f t="shared" si="134"/>
        <v>0</v>
      </c>
      <c r="P505" s="32">
        <f t="shared" si="135"/>
        <v>0</v>
      </c>
      <c r="Q505" s="98"/>
      <c r="R505" s="98"/>
      <c r="IP505" s="100"/>
      <c r="IQ505" s="100"/>
      <c r="IR505" s="100"/>
      <c r="IS505" s="100"/>
      <c r="IT505" s="100"/>
    </row>
    <row r="506" spans="1:254" s="93" customFormat="1" ht="20.25" customHeight="1">
      <c r="A506" s="177" t="s">
        <v>128</v>
      </c>
      <c r="B506" s="177"/>
      <c r="C506" s="32"/>
      <c r="D506" s="32">
        <f>D496</f>
        <v>0</v>
      </c>
      <c r="E506" s="33"/>
      <c r="F506" s="32">
        <f t="shared" si="131"/>
        <v>0</v>
      </c>
      <c r="G506" s="32">
        <f>G496</f>
        <v>0</v>
      </c>
      <c r="H506" s="33"/>
      <c r="I506" s="32">
        <f t="shared" si="132"/>
        <v>0</v>
      </c>
      <c r="J506" s="32">
        <f>J496</f>
        <v>0</v>
      </c>
      <c r="K506" s="33"/>
      <c r="L506" s="32">
        <f t="shared" si="133"/>
        <v>0</v>
      </c>
      <c r="M506" s="32">
        <f>M496</f>
        <v>0</v>
      </c>
      <c r="N506" s="33"/>
      <c r="O506" s="32">
        <f t="shared" si="134"/>
        <v>0</v>
      </c>
      <c r="P506" s="32">
        <f t="shared" si="135"/>
        <v>0</v>
      </c>
      <c r="Q506" s="92"/>
      <c r="R506" s="92"/>
      <c r="IP506" s="94"/>
      <c r="IQ506" s="94"/>
      <c r="IR506" s="94"/>
      <c r="IS506" s="94"/>
      <c r="IT506" s="94"/>
    </row>
    <row r="507" spans="1:254" s="80" customFormat="1" ht="17.25" customHeight="1">
      <c r="A507" s="172" t="s">
        <v>129</v>
      </c>
      <c r="B507" s="172"/>
      <c r="C507" s="172"/>
      <c r="D507" s="116"/>
      <c r="E507" s="117"/>
      <c r="F507" s="32"/>
      <c r="G507" s="116"/>
      <c r="H507" s="117"/>
      <c r="I507" s="32"/>
      <c r="J507" s="83"/>
      <c r="K507" s="84"/>
      <c r="L507" s="32"/>
      <c r="M507" s="134"/>
      <c r="N507" s="135"/>
      <c r="O507" s="32"/>
      <c r="P507" s="32"/>
      <c r="Q507" s="89"/>
      <c r="R507" s="89"/>
      <c r="IP507" s="81"/>
      <c r="IQ507" s="81"/>
      <c r="IR507" s="81"/>
      <c r="IS507" s="81"/>
      <c r="IT507" s="81"/>
    </row>
    <row r="508" spans="1:253" s="80" customFormat="1" ht="152.25" customHeight="1">
      <c r="A508" s="25" t="s">
        <v>130</v>
      </c>
      <c r="B508" s="31" t="s">
        <v>131</v>
      </c>
      <c r="C508" s="44">
        <f>C509+C510+C511</f>
        <v>43752</v>
      </c>
      <c r="D508" s="44">
        <f>D509+D510+D511</f>
        <v>21353</v>
      </c>
      <c r="E508" s="45"/>
      <c r="F508" s="32">
        <f aca="true" t="shared" si="136" ref="F508:F539">D508+E508</f>
        <v>21353</v>
      </c>
      <c r="G508" s="44">
        <f>G509+G510+G511</f>
        <v>17199</v>
      </c>
      <c r="H508" s="45"/>
      <c r="I508" s="32">
        <f aca="true" t="shared" si="137" ref="I508:I539">G508+H508</f>
        <v>17199</v>
      </c>
      <c r="J508" s="44">
        <f>J509+J510+J511</f>
        <v>5200</v>
      </c>
      <c r="K508" s="45"/>
      <c r="L508" s="32">
        <f aca="true" t="shared" si="138" ref="L508:L539">J508+K508</f>
        <v>5200</v>
      </c>
      <c r="M508" s="44">
        <f>M509+M510+M511</f>
        <v>0</v>
      </c>
      <c r="N508" s="45"/>
      <c r="O508" s="32">
        <f aca="true" t="shared" si="139" ref="O508:O539">M508+N508</f>
        <v>0</v>
      </c>
      <c r="P508" s="32">
        <f aca="true" t="shared" si="140" ref="P508:P539">F508+I508+L508+O508</f>
        <v>43752</v>
      </c>
      <c r="Q508" s="101"/>
      <c r="R508" s="101"/>
      <c r="S508" s="101"/>
      <c r="IO508" s="81"/>
      <c r="IP508" s="81"/>
      <c r="IQ508" s="81"/>
      <c r="IR508" s="81"/>
      <c r="IS508" s="81"/>
    </row>
    <row r="509" spans="1:254" s="80" customFormat="1" ht="17.25" customHeight="1">
      <c r="A509" s="46" t="s">
        <v>34</v>
      </c>
      <c r="B509" s="88"/>
      <c r="C509" s="83">
        <f>43399*0.15</f>
        <v>6509.849999999999</v>
      </c>
      <c r="D509" s="83">
        <f>2250+930</f>
        <v>3180</v>
      </c>
      <c r="E509" s="84"/>
      <c r="F509" s="32">
        <f t="shared" si="136"/>
        <v>3180</v>
      </c>
      <c r="G509" s="83">
        <v>2565</v>
      </c>
      <c r="H509" s="84"/>
      <c r="I509" s="32">
        <f t="shared" si="137"/>
        <v>2565</v>
      </c>
      <c r="J509" s="83">
        <v>765</v>
      </c>
      <c r="K509" s="84"/>
      <c r="L509" s="32">
        <f t="shared" si="138"/>
        <v>765</v>
      </c>
      <c r="M509" s="83">
        <v>0</v>
      </c>
      <c r="N509" s="84"/>
      <c r="O509" s="32">
        <f t="shared" si="139"/>
        <v>0</v>
      </c>
      <c r="P509" s="32">
        <f t="shared" si="140"/>
        <v>6510</v>
      </c>
      <c r="Q509" s="175"/>
      <c r="R509" s="176"/>
      <c r="S509" s="176"/>
      <c r="IP509" s="81"/>
      <c r="IQ509" s="81"/>
      <c r="IR509" s="81"/>
      <c r="IS509" s="81"/>
      <c r="IT509" s="81"/>
    </row>
    <row r="510" spans="1:254" s="80" customFormat="1" ht="16.5" customHeight="1">
      <c r="A510" s="41" t="s">
        <v>35</v>
      </c>
      <c r="B510" s="88"/>
      <c r="C510" s="83">
        <f>43399*0.85</f>
        <v>36889.15</v>
      </c>
      <c r="D510" s="83">
        <f>12750+5270</f>
        <v>18020</v>
      </c>
      <c r="E510" s="84"/>
      <c r="F510" s="32">
        <f t="shared" si="136"/>
        <v>18020</v>
      </c>
      <c r="G510" s="83">
        <v>14534</v>
      </c>
      <c r="H510" s="84"/>
      <c r="I510" s="32">
        <f t="shared" si="137"/>
        <v>14534</v>
      </c>
      <c r="J510" s="83">
        <v>4335</v>
      </c>
      <c r="K510" s="84"/>
      <c r="L510" s="32">
        <f t="shared" si="138"/>
        <v>4335</v>
      </c>
      <c r="M510" s="83">
        <v>0</v>
      </c>
      <c r="N510" s="84"/>
      <c r="O510" s="32">
        <f t="shared" si="139"/>
        <v>0</v>
      </c>
      <c r="P510" s="32">
        <f t="shared" si="140"/>
        <v>36889</v>
      </c>
      <c r="Q510" s="175"/>
      <c r="R510" s="175"/>
      <c r="S510" s="176"/>
      <c r="IP510" s="81"/>
      <c r="IQ510" s="81"/>
      <c r="IR510" s="81"/>
      <c r="IS510" s="81"/>
      <c r="IT510" s="81"/>
    </row>
    <row r="511" spans="1:254" s="80" customFormat="1" ht="15" customHeight="1">
      <c r="A511" s="41" t="s">
        <v>36</v>
      </c>
      <c r="B511" s="88"/>
      <c r="C511" s="83">
        <f>353</f>
        <v>353</v>
      </c>
      <c r="D511" s="83">
        <v>153</v>
      </c>
      <c r="E511" s="84"/>
      <c r="F511" s="32">
        <f t="shared" si="136"/>
        <v>153</v>
      </c>
      <c r="G511" s="83">
        <v>100</v>
      </c>
      <c r="H511" s="84"/>
      <c r="I511" s="32">
        <f t="shared" si="137"/>
        <v>100</v>
      </c>
      <c r="J511" s="83">
        <v>100</v>
      </c>
      <c r="K511" s="84"/>
      <c r="L511" s="32">
        <f t="shared" si="138"/>
        <v>100</v>
      </c>
      <c r="M511" s="83">
        <v>0</v>
      </c>
      <c r="N511" s="84"/>
      <c r="O511" s="32">
        <f t="shared" si="139"/>
        <v>0</v>
      </c>
      <c r="P511" s="32">
        <f t="shared" si="140"/>
        <v>353</v>
      </c>
      <c r="Q511" s="101"/>
      <c r="R511" s="101"/>
      <c r="S511" s="101"/>
      <c r="IP511" s="81"/>
      <c r="IQ511" s="81"/>
      <c r="IR511" s="81"/>
      <c r="IS511" s="81"/>
      <c r="IT511" s="81"/>
    </row>
    <row r="512" spans="1:254" s="80" customFormat="1" ht="18.75" customHeight="1" hidden="1">
      <c r="A512" s="41"/>
      <c r="B512" s="88"/>
      <c r="C512" s="83"/>
      <c r="D512" s="83"/>
      <c r="E512" s="84"/>
      <c r="F512" s="32">
        <f t="shared" si="136"/>
        <v>0</v>
      </c>
      <c r="G512" s="83"/>
      <c r="H512" s="84"/>
      <c r="I512" s="32">
        <f t="shared" si="137"/>
        <v>0</v>
      </c>
      <c r="J512" s="83"/>
      <c r="K512" s="84"/>
      <c r="L512" s="32">
        <f t="shared" si="138"/>
        <v>0</v>
      </c>
      <c r="M512" s="83"/>
      <c r="N512" s="84"/>
      <c r="O512" s="32">
        <f t="shared" si="139"/>
        <v>0</v>
      </c>
      <c r="P512" s="32">
        <f t="shared" si="140"/>
        <v>0</v>
      </c>
      <c r="Q512" s="89"/>
      <c r="R512" s="89"/>
      <c r="IP512" s="81"/>
      <c r="IQ512" s="81"/>
      <c r="IR512" s="81"/>
      <c r="IS512" s="81"/>
      <c r="IT512" s="81"/>
    </row>
    <row r="513" spans="1:254" s="93" customFormat="1" ht="18.75" customHeight="1" hidden="1">
      <c r="A513" s="42"/>
      <c r="B513" s="31"/>
      <c r="C513" s="90">
        <f>C514+C515+C516+C518+C517</f>
        <v>43752</v>
      </c>
      <c r="D513" s="90">
        <f>D514+D515+D516+D518+D517</f>
        <v>21353</v>
      </c>
      <c r="E513" s="91"/>
      <c r="F513" s="32">
        <f t="shared" si="136"/>
        <v>21353</v>
      </c>
      <c r="G513" s="90">
        <f>G514+G515+G516+G518+G517</f>
        <v>17198.999999999996</v>
      </c>
      <c r="H513" s="91"/>
      <c r="I513" s="32">
        <f t="shared" si="137"/>
        <v>17198.999999999996</v>
      </c>
      <c r="J513" s="90">
        <f>J514+J515+J516+J518+J517</f>
        <v>5200</v>
      </c>
      <c r="K513" s="91"/>
      <c r="L513" s="32">
        <f t="shared" si="138"/>
        <v>5200</v>
      </c>
      <c r="M513" s="90">
        <f>M514+M515+M516+M518+M517</f>
        <v>0</v>
      </c>
      <c r="N513" s="91"/>
      <c r="O513" s="32">
        <f t="shared" si="139"/>
        <v>0</v>
      </c>
      <c r="P513" s="32">
        <f t="shared" si="140"/>
        <v>43752</v>
      </c>
      <c r="Q513" s="92"/>
      <c r="R513" s="92"/>
      <c r="IP513" s="94"/>
      <c r="IQ513" s="94"/>
      <c r="IR513" s="94"/>
      <c r="IS513" s="94"/>
      <c r="IT513" s="94"/>
    </row>
    <row r="514" spans="1:254" s="93" customFormat="1" ht="18.75" customHeight="1" hidden="1">
      <c r="A514" s="41" t="s">
        <v>37</v>
      </c>
      <c r="B514" s="31"/>
      <c r="C514" s="95">
        <f>43399*0.13</f>
        <v>5641.87</v>
      </c>
      <c r="D514" s="83">
        <v>0</v>
      </c>
      <c r="E514" s="84"/>
      <c r="F514" s="32">
        <f t="shared" si="136"/>
        <v>0</v>
      </c>
      <c r="G514" s="83">
        <f>(G509+G510+D509+D510)*0.13</f>
        <v>4978.87</v>
      </c>
      <c r="H514" s="84"/>
      <c r="I514" s="32">
        <f t="shared" si="137"/>
        <v>4978.87</v>
      </c>
      <c r="J514" s="83">
        <f>(J509+J510)*0.13</f>
        <v>663</v>
      </c>
      <c r="K514" s="84"/>
      <c r="L514" s="32">
        <f t="shared" si="138"/>
        <v>663</v>
      </c>
      <c r="M514" s="83">
        <f>(M509+M510)*0.13</f>
        <v>0</v>
      </c>
      <c r="N514" s="84"/>
      <c r="O514" s="32">
        <f t="shared" si="139"/>
        <v>0</v>
      </c>
      <c r="P514" s="32">
        <f t="shared" si="140"/>
        <v>5641.87</v>
      </c>
      <c r="Q514" s="89"/>
      <c r="R514" s="89"/>
      <c r="S514" s="80"/>
      <c r="IP514" s="94"/>
      <c r="IQ514" s="94"/>
      <c r="IR514" s="94"/>
      <c r="IS514" s="94"/>
      <c r="IT514" s="94"/>
    </row>
    <row r="515" spans="1:254" s="93" customFormat="1" ht="18.75" customHeight="1" hidden="1">
      <c r="A515" s="41" t="s">
        <v>38</v>
      </c>
      <c r="B515" s="31"/>
      <c r="C515" s="95">
        <f>43399*0.85-C517-C516</f>
        <v>11306.160000000002</v>
      </c>
      <c r="D515" s="83">
        <v>0</v>
      </c>
      <c r="E515" s="84"/>
      <c r="F515" s="32">
        <f t="shared" si="136"/>
        <v>0</v>
      </c>
      <c r="G515" s="83">
        <f>(G509+G510+D509+D510)*0.85-G516-D516-D517</f>
        <v>6971.159999999996</v>
      </c>
      <c r="H515" s="84"/>
      <c r="I515" s="32">
        <f t="shared" si="137"/>
        <v>6971.159999999996</v>
      </c>
      <c r="J515" s="83">
        <f>(J509+J510)*0.85</f>
        <v>4335</v>
      </c>
      <c r="K515" s="84"/>
      <c r="L515" s="32">
        <f t="shared" si="138"/>
        <v>4335</v>
      </c>
      <c r="M515" s="83">
        <f>(M509+M510)*0.85</f>
        <v>0</v>
      </c>
      <c r="N515" s="84"/>
      <c r="O515" s="32">
        <f t="shared" si="139"/>
        <v>0</v>
      </c>
      <c r="P515" s="32">
        <f t="shared" si="140"/>
        <v>11306.159999999996</v>
      </c>
      <c r="Q515" s="89"/>
      <c r="R515" s="89"/>
      <c r="S515" s="80"/>
      <c r="IP515" s="94"/>
      <c r="IQ515" s="94"/>
      <c r="IR515" s="94"/>
      <c r="IS515" s="94"/>
      <c r="IT515" s="94"/>
    </row>
    <row r="516" spans="1:254" s="93" customFormat="1" ht="18.75" customHeight="1" hidden="1">
      <c r="A516" s="41" t="s">
        <v>39</v>
      </c>
      <c r="B516" s="31"/>
      <c r="C516" s="95">
        <f>13442*0.85*0.7</f>
        <v>7997.99</v>
      </c>
      <c r="D516" s="136">
        <v>3191</v>
      </c>
      <c r="E516" s="137"/>
      <c r="F516" s="32">
        <f t="shared" si="136"/>
        <v>3191</v>
      </c>
      <c r="G516" s="136">
        <f>C516-D516</f>
        <v>4806.99</v>
      </c>
      <c r="H516" s="137"/>
      <c r="I516" s="32">
        <f t="shared" si="137"/>
        <v>4806.99</v>
      </c>
      <c r="J516" s="136">
        <v>0</v>
      </c>
      <c r="K516" s="137"/>
      <c r="L516" s="32">
        <f t="shared" si="138"/>
        <v>0</v>
      </c>
      <c r="M516" s="136">
        <v>0</v>
      </c>
      <c r="N516" s="137"/>
      <c r="O516" s="32">
        <f t="shared" si="139"/>
        <v>0</v>
      </c>
      <c r="P516" s="32">
        <f t="shared" si="140"/>
        <v>7997.99</v>
      </c>
      <c r="Q516" s="89"/>
      <c r="R516" s="89"/>
      <c r="S516" s="80"/>
      <c r="IP516" s="94"/>
      <c r="IQ516" s="94"/>
      <c r="IR516" s="94"/>
      <c r="IS516" s="94"/>
      <c r="IT516" s="94"/>
    </row>
    <row r="517" spans="1:254" s="93" customFormat="1" ht="18.75" customHeight="1" hidden="1">
      <c r="A517" s="41" t="s">
        <v>49</v>
      </c>
      <c r="B517" s="31"/>
      <c r="C517" s="95">
        <v>17585</v>
      </c>
      <c r="D517" s="95">
        <f>C517</f>
        <v>17585</v>
      </c>
      <c r="E517" s="96"/>
      <c r="F517" s="32">
        <f t="shared" si="136"/>
        <v>17585</v>
      </c>
      <c r="G517" s="95">
        <v>0</v>
      </c>
      <c r="H517" s="96"/>
      <c r="I517" s="32">
        <f t="shared" si="137"/>
        <v>0</v>
      </c>
      <c r="J517" s="95">
        <v>0</v>
      </c>
      <c r="K517" s="96"/>
      <c r="L517" s="32">
        <f t="shared" si="138"/>
        <v>0</v>
      </c>
      <c r="M517" s="95">
        <v>0</v>
      </c>
      <c r="N517" s="96"/>
      <c r="O517" s="32">
        <f t="shared" si="139"/>
        <v>0</v>
      </c>
      <c r="P517" s="32">
        <f t="shared" si="140"/>
        <v>17585</v>
      </c>
      <c r="Q517" s="89"/>
      <c r="R517" s="89"/>
      <c r="S517" s="80"/>
      <c r="IP517" s="94"/>
      <c r="IQ517" s="94"/>
      <c r="IR517" s="94"/>
      <c r="IS517" s="94"/>
      <c r="IT517" s="94"/>
    </row>
    <row r="518" spans="1:254" s="99" customFormat="1" ht="30" hidden="1">
      <c r="A518" s="52" t="s">
        <v>40</v>
      </c>
      <c r="B518" s="97"/>
      <c r="C518" s="95">
        <f>43399*2/100+C511</f>
        <v>1220.98</v>
      </c>
      <c r="D518" s="83">
        <f>D511+(D509+D510)*2/100</f>
        <v>577</v>
      </c>
      <c r="E518" s="84"/>
      <c r="F518" s="32">
        <f t="shared" si="136"/>
        <v>577</v>
      </c>
      <c r="G518" s="83">
        <f>G511+(G509+G510)*2/100</f>
        <v>441.98</v>
      </c>
      <c r="H518" s="84"/>
      <c r="I518" s="32">
        <f t="shared" si="137"/>
        <v>441.98</v>
      </c>
      <c r="J518" s="83">
        <f>J511+(J509+J510)*2/100</f>
        <v>202</v>
      </c>
      <c r="K518" s="84"/>
      <c r="L518" s="32">
        <f t="shared" si="138"/>
        <v>202</v>
      </c>
      <c r="M518" s="83">
        <f>M511+(M509+M510)*2/100</f>
        <v>0</v>
      </c>
      <c r="N518" s="84"/>
      <c r="O518" s="32">
        <f t="shared" si="139"/>
        <v>0</v>
      </c>
      <c r="P518" s="32">
        <f t="shared" si="140"/>
        <v>1220.98</v>
      </c>
      <c r="Q518" s="98"/>
      <c r="R518" s="98"/>
      <c r="IP518" s="100"/>
      <c r="IQ518" s="100"/>
      <c r="IR518" s="100"/>
      <c r="IS518" s="100"/>
      <c r="IT518" s="100"/>
    </row>
    <row r="519" spans="1:253" s="80" customFormat="1" ht="30">
      <c r="A519" s="25" t="s">
        <v>130</v>
      </c>
      <c r="B519" s="31" t="s">
        <v>132</v>
      </c>
      <c r="C519" s="44">
        <f>C520+C521+C522</f>
        <v>53325</v>
      </c>
      <c r="D519" s="44">
        <f>D520+D521+D522</f>
        <v>4850</v>
      </c>
      <c r="E519" s="45"/>
      <c r="F519" s="32">
        <f t="shared" si="136"/>
        <v>4850</v>
      </c>
      <c r="G519" s="44">
        <f>G520+G521+G522</f>
        <v>24050</v>
      </c>
      <c r="H519" s="45"/>
      <c r="I519" s="32">
        <f t="shared" si="137"/>
        <v>24050</v>
      </c>
      <c r="J519" s="44">
        <f>J520+J521+J522</f>
        <v>24018</v>
      </c>
      <c r="K519" s="45"/>
      <c r="L519" s="32">
        <f t="shared" si="138"/>
        <v>24018</v>
      </c>
      <c r="M519" s="44">
        <f>M520+M521+M522</f>
        <v>407</v>
      </c>
      <c r="N519" s="45"/>
      <c r="O519" s="32">
        <f t="shared" si="139"/>
        <v>407</v>
      </c>
      <c r="P519" s="32">
        <f t="shared" si="140"/>
        <v>53325</v>
      </c>
      <c r="Q519" s="79"/>
      <c r="R519" s="79"/>
      <c r="S519" s="79"/>
      <c r="IO519" s="81"/>
      <c r="IP519" s="81"/>
      <c r="IQ519" s="81"/>
      <c r="IR519" s="81"/>
      <c r="IS519" s="81"/>
    </row>
    <row r="520" spans="1:254" s="80" customFormat="1" ht="16.5" customHeight="1">
      <c r="A520" s="46" t="s">
        <v>34</v>
      </c>
      <c r="B520" s="88"/>
      <c r="C520" s="83">
        <f>53207*0.15</f>
        <v>7981.049999999999</v>
      </c>
      <c r="D520" s="83">
        <v>720</v>
      </c>
      <c r="E520" s="84"/>
      <c r="F520" s="32">
        <f t="shared" si="136"/>
        <v>720</v>
      </c>
      <c r="G520" s="83">
        <v>3600</v>
      </c>
      <c r="H520" s="84"/>
      <c r="I520" s="32">
        <f t="shared" si="137"/>
        <v>3600</v>
      </c>
      <c r="J520" s="83">
        <v>3600</v>
      </c>
      <c r="K520" s="84"/>
      <c r="L520" s="32">
        <f t="shared" si="138"/>
        <v>3600</v>
      </c>
      <c r="M520" s="83">
        <v>61</v>
      </c>
      <c r="N520" s="84"/>
      <c r="O520" s="32">
        <f t="shared" si="139"/>
        <v>61</v>
      </c>
      <c r="P520" s="32">
        <f t="shared" si="140"/>
        <v>7981</v>
      </c>
      <c r="Q520" s="173"/>
      <c r="R520" s="174"/>
      <c r="S520" s="174"/>
      <c r="IP520" s="81"/>
      <c r="IQ520" s="81"/>
      <c r="IR520" s="81"/>
      <c r="IS520" s="81"/>
      <c r="IT520" s="81"/>
    </row>
    <row r="521" spans="1:254" s="80" customFormat="1" ht="16.5" customHeight="1">
      <c r="A521" s="41" t="s">
        <v>35</v>
      </c>
      <c r="B521" s="88"/>
      <c r="C521" s="83">
        <f>53207*0.85</f>
        <v>45225.95</v>
      </c>
      <c r="D521" s="83">
        <f>680+1700+1700</f>
        <v>4080</v>
      </c>
      <c r="E521" s="84"/>
      <c r="F521" s="32">
        <f t="shared" si="136"/>
        <v>4080</v>
      </c>
      <c r="G521" s="83">
        <v>20400</v>
      </c>
      <c r="H521" s="84"/>
      <c r="I521" s="32">
        <f t="shared" si="137"/>
        <v>20400</v>
      </c>
      <c r="J521" s="83">
        <v>20400</v>
      </c>
      <c r="K521" s="84"/>
      <c r="L521" s="32">
        <f t="shared" si="138"/>
        <v>20400</v>
      </c>
      <c r="M521" s="83">
        <v>346</v>
      </c>
      <c r="N521" s="84"/>
      <c r="O521" s="32">
        <f t="shared" si="139"/>
        <v>346</v>
      </c>
      <c r="P521" s="32">
        <f t="shared" si="140"/>
        <v>45226</v>
      </c>
      <c r="Q521" s="173"/>
      <c r="R521" s="173"/>
      <c r="S521" s="174"/>
      <c r="IP521" s="81"/>
      <c r="IQ521" s="81"/>
      <c r="IR521" s="81"/>
      <c r="IS521" s="81"/>
      <c r="IT521" s="81"/>
    </row>
    <row r="522" spans="1:254" s="80" customFormat="1" ht="16.5" customHeight="1">
      <c r="A522" s="41" t="s">
        <v>36</v>
      </c>
      <c r="B522" s="88"/>
      <c r="C522" s="83">
        <v>118</v>
      </c>
      <c r="D522" s="83">
        <v>50</v>
      </c>
      <c r="E522" s="84"/>
      <c r="F522" s="32">
        <f t="shared" si="136"/>
        <v>50</v>
      </c>
      <c r="G522" s="83">
        <v>50</v>
      </c>
      <c r="H522" s="84"/>
      <c r="I522" s="32">
        <f t="shared" si="137"/>
        <v>50</v>
      </c>
      <c r="J522" s="83">
        <v>18</v>
      </c>
      <c r="K522" s="84"/>
      <c r="L522" s="32">
        <f t="shared" si="138"/>
        <v>18</v>
      </c>
      <c r="M522" s="83">
        <v>0</v>
      </c>
      <c r="N522" s="84"/>
      <c r="O522" s="32">
        <f t="shared" si="139"/>
        <v>0</v>
      </c>
      <c r="P522" s="32">
        <f t="shared" si="140"/>
        <v>118</v>
      </c>
      <c r="Q522" s="79"/>
      <c r="R522" s="79"/>
      <c r="S522" s="79"/>
      <c r="IP522" s="81"/>
      <c r="IQ522" s="81"/>
      <c r="IR522" s="81"/>
      <c r="IS522" s="81"/>
      <c r="IT522" s="81"/>
    </row>
    <row r="523" spans="1:254" s="80" customFormat="1" ht="16.5" customHeight="1" hidden="1">
      <c r="A523" s="41"/>
      <c r="B523" s="88"/>
      <c r="C523" s="83"/>
      <c r="D523" s="83"/>
      <c r="E523" s="84"/>
      <c r="F523" s="32">
        <f t="shared" si="136"/>
        <v>0</v>
      </c>
      <c r="G523" s="83"/>
      <c r="H523" s="84"/>
      <c r="I523" s="32">
        <f t="shared" si="137"/>
        <v>0</v>
      </c>
      <c r="J523" s="83"/>
      <c r="K523" s="84"/>
      <c r="L523" s="32">
        <f t="shared" si="138"/>
        <v>0</v>
      </c>
      <c r="M523" s="83"/>
      <c r="N523" s="84"/>
      <c r="O523" s="32">
        <f t="shared" si="139"/>
        <v>0</v>
      </c>
      <c r="P523" s="32">
        <f t="shared" si="140"/>
        <v>0</v>
      </c>
      <c r="Q523" s="89"/>
      <c r="R523" s="89"/>
      <c r="IP523" s="81"/>
      <c r="IQ523" s="81"/>
      <c r="IR523" s="81"/>
      <c r="IS523" s="81"/>
      <c r="IT523" s="81"/>
    </row>
    <row r="524" spans="1:254" s="80" customFormat="1" ht="16.5" customHeight="1" hidden="1">
      <c r="A524" s="41"/>
      <c r="B524" s="88"/>
      <c r="C524" s="90">
        <f>C525+C526+C527+C529+C528</f>
        <v>53325</v>
      </c>
      <c r="D524" s="90">
        <f>D525+D526+D527+D529+D528</f>
        <v>16884</v>
      </c>
      <c r="E524" s="91"/>
      <c r="F524" s="32">
        <f t="shared" si="136"/>
        <v>16884</v>
      </c>
      <c r="G524" s="90">
        <f>G525+G526+G527+G529+G528</f>
        <v>12016</v>
      </c>
      <c r="H524" s="91"/>
      <c r="I524" s="32">
        <f t="shared" si="137"/>
        <v>12016</v>
      </c>
      <c r="J524" s="90">
        <f>J525+J526+J527+J529+J528</f>
        <v>24018</v>
      </c>
      <c r="K524" s="91"/>
      <c r="L524" s="32">
        <f t="shared" si="138"/>
        <v>24018</v>
      </c>
      <c r="M524" s="90">
        <f>M525+M526+M527+M529+M528</f>
        <v>407</v>
      </c>
      <c r="N524" s="91"/>
      <c r="O524" s="32">
        <f t="shared" si="139"/>
        <v>407</v>
      </c>
      <c r="P524" s="32">
        <f t="shared" si="140"/>
        <v>53325</v>
      </c>
      <c r="Q524" s="92"/>
      <c r="R524" s="92"/>
      <c r="S524" s="93"/>
      <c r="IP524" s="81"/>
      <c r="IQ524" s="81"/>
      <c r="IR524" s="81"/>
      <c r="IS524" s="81"/>
      <c r="IT524" s="81"/>
    </row>
    <row r="525" spans="1:254" s="80" customFormat="1" ht="16.5" customHeight="1" hidden="1">
      <c r="A525" s="41" t="s">
        <v>37</v>
      </c>
      <c r="B525" s="88"/>
      <c r="C525" s="95">
        <f>53207*0.13</f>
        <v>6916.91</v>
      </c>
      <c r="D525" s="83">
        <v>0</v>
      </c>
      <c r="E525" s="84"/>
      <c r="F525" s="32">
        <f t="shared" si="136"/>
        <v>0</v>
      </c>
      <c r="G525" s="83">
        <f>(G520+G521+D520+D521)*0.13</f>
        <v>3744</v>
      </c>
      <c r="H525" s="84"/>
      <c r="I525" s="32">
        <f t="shared" si="137"/>
        <v>3744</v>
      </c>
      <c r="J525" s="83">
        <f>(J520+J521)*0.13</f>
        <v>3120</v>
      </c>
      <c r="K525" s="84"/>
      <c r="L525" s="32">
        <f t="shared" si="138"/>
        <v>3120</v>
      </c>
      <c r="M525" s="83">
        <f>(M520+M521)*0.13</f>
        <v>52.910000000000004</v>
      </c>
      <c r="N525" s="84"/>
      <c r="O525" s="32">
        <f t="shared" si="139"/>
        <v>52.910000000000004</v>
      </c>
      <c r="P525" s="32">
        <f t="shared" si="140"/>
        <v>6916.91</v>
      </c>
      <c r="Q525" s="89"/>
      <c r="R525" s="89"/>
      <c r="IP525" s="81"/>
      <c r="IQ525" s="81"/>
      <c r="IR525" s="81"/>
      <c r="IS525" s="81"/>
      <c r="IT525" s="81"/>
    </row>
    <row r="526" spans="1:254" s="80" customFormat="1" ht="16.5" customHeight="1" hidden="1">
      <c r="A526" s="41" t="s">
        <v>38</v>
      </c>
      <c r="B526" s="88"/>
      <c r="C526" s="95">
        <f>53207*0.85-C528-C527</f>
        <v>27155.744999999995</v>
      </c>
      <c r="D526" s="83">
        <v>0</v>
      </c>
      <c r="E526" s="84"/>
      <c r="F526" s="32">
        <f t="shared" si="136"/>
        <v>0</v>
      </c>
      <c r="G526" s="83">
        <f>(G520+G521+D520+D521)*0.85-C528-G527</f>
        <v>6409.795</v>
      </c>
      <c r="H526" s="84"/>
      <c r="I526" s="32">
        <f t="shared" si="137"/>
        <v>6409.795</v>
      </c>
      <c r="J526" s="83">
        <f>(J520+J521)*0.85</f>
        <v>20400</v>
      </c>
      <c r="K526" s="84"/>
      <c r="L526" s="32">
        <f t="shared" si="138"/>
        <v>20400</v>
      </c>
      <c r="M526" s="83">
        <f>(M520+M521)*0.85</f>
        <v>345.95</v>
      </c>
      <c r="N526" s="84"/>
      <c r="O526" s="32">
        <f t="shared" si="139"/>
        <v>345.95</v>
      </c>
      <c r="P526" s="32">
        <f t="shared" si="140"/>
        <v>27155.745</v>
      </c>
      <c r="Q526" s="89"/>
      <c r="R526" s="89"/>
      <c r="IP526" s="81"/>
      <c r="IQ526" s="81"/>
      <c r="IR526" s="81"/>
      <c r="IS526" s="81"/>
      <c r="IT526" s="81"/>
    </row>
    <row r="527" spans="1:254" s="80" customFormat="1" ht="16.5" customHeight="1" hidden="1">
      <c r="A527" s="41" t="s">
        <v>39</v>
      </c>
      <c r="B527" s="88"/>
      <c r="C527" s="95">
        <f>2239*0.85*0.7</f>
        <v>1332.205</v>
      </c>
      <c r="D527" s="136">
        <v>0</v>
      </c>
      <c r="E527" s="137"/>
      <c r="F527" s="32">
        <f t="shared" si="136"/>
        <v>0</v>
      </c>
      <c r="G527" s="136">
        <f>C527-D527</f>
        <v>1332.205</v>
      </c>
      <c r="H527" s="137"/>
      <c r="I527" s="32">
        <f t="shared" si="137"/>
        <v>1332.205</v>
      </c>
      <c r="J527" s="136">
        <v>0</v>
      </c>
      <c r="K527" s="137"/>
      <c r="L527" s="32">
        <f t="shared" si="138"/>
        <v>0</v>
      </c>
      <c r="M527" s="136">
        <v>0</v>
      </c>
      <c r="N527" s="137"/>
      <c r="O527" s="32">
        <f t="shared" si="139"/>
        <v>0</v>
      </c>
      <c r="P527" s="32">
        <f t="shared" si="140"/>
        <v>1332.205</v>
      </c>
      <c r="Q527" s="89"/>
      <c r="R527" s="89"/>
      <c r="IP527" s="81"/>
      <c r="IQ527" s="81"/>
      <c r="IR527" s="81"/>
      <c r="IS527" s="81"/>
      <c r="IT527" s="81"/>
    </row>
    <row r="528" spans="1:254" s="93" customFormat="1" ht="16.5" customHeight="1" hidden="1">
      <c r="A528" s="41" t="s">
        <v>49</v>
      </c>
      <c r="B528" s="31"/>
      <c r="C528" s="95">
        <v>16738</v>
      </c>
      <c r="D528" s="95">
        <f>C528</f>
        <v>16738</v>
      </c>
      <c r="E528" s="96"/>
      <c r="F528" s="32">
        <f t="shared" si="136"/>
        <v>16738</v>
      </c>
      <c r="G528" s="95">
        <v>0</v>
      </c>
      <c r="H528" s="96"/>
      <c r="I528" s="32">
        <f t="shared" si="137"/>
        <v>0</v>
      </c>
      <c r="J528" s="95">
        <v>0</v>
      </c>
      <c r="K528" s="96"/>
      <c r="L528" s="32">
        <f t="shared" si="138"/>
        <v>0</v>
      </c>
      <c r="M528" s="95">
        <v>0</v>
      </c>
      <c r="N528" s="96"/>
      <c r="O528" s="32">
        <f t="shared" si="139"/>
        <v>0</v>
      </c>
      <c r="P528" s="32">
        <f t="shared" si="140"/>
        <v>16738</v>
      </c>
      <c r="Q528" s="89"/>
      <c r="R528" s="89"/>
      <c r="S528" s="80"/>
      <c r="IP528" s="94"/>
      <c r="IQ528" s="94"/>
      <c r="IR528" s="94"/>
      <c r="IS528" s="94"/>
      <c r="IT528" s="94"/>
    </row>
    <row r="529" spans="1:254" s="99" customFormat="1" ht="30" hidden="1">
      <c r="A529" s="52" t="s">
        <v>40</v>
      </c>
      <c r="B529" s="97"/>
      <c r="C529" s="95">
        <f>53207*2/100+C522</f>
        <v>1182.14</v>
      </c>
      <c r="D529" s="83">
        <f>D522+(D520+D521)*2/100</f>
        <v>146</v>
      </c>
      <c r="E529" s="84"/>
      <c r="F529" s="32">
        <f t="shared" si="136"/>
        <v>146</v>
      </c>
      <c r="G529" s="83">
        <f>G522+(G520+G521)*2/100</f>
        <v>530</v>
      </c>
      <c r="H529" s="84"/>
      <c r="I529" s="32">
        <f t="shared" si="137"/>
        <v>530</v>
      </c>
      <c r="J529" s="83">
        <f>J522+(J520+J521)*2/100</f>
        <v>498</v>
      </c>
      <c r="K529" s="84"/>
      <c r="L529" s="32">
        <f t="shared" si="138"/>
        <v>498</v>
      </c>
      <c r="M529" s="83">
        <f>M522+(M520+M521)*2/100</f>
        <v>8.14</v>
      </c>
      <c r="N529" s="84"/>
      <c r="O529" s="32">
        <f t="shared" si="139"/>
        <v>8.14</v>
      </c>
      <c r="P529" s="32">
        <f t="shared" si="140"/>
        <v>1182.14</v>
      </c>
      <c r="Q529" s="98"/>
      <c r="R529" s="98"/>
      <c r="IP529" s="100"/>
      <c r="IQ529" s="100"/>
      <c r="IR529" s="100"/>
      <c r="IS529" s="100"/>
      <c r="IT529" s="100"/>
    </row>
    <row r="530" spans="1:253" s="80" customFormat="1" ht="36" customHeight="1">
      <c r="A530" s="25" t="s">
        <v>130</v>
      </c>
      <c r="B530" s="31" t="s">
        <v>133</v>
      </c>
      <c r="C530" s="44"/>
      <c r="D530" s="44"/>
      <c r="E530" s="45"/>
      <c r="F530" s="32">
        <f t="shared" si="136"/>
        <v>0</v>
      </c>
      <c r="G530" s="44"/>
      <c r="H530" s="45"/>
      <c r="I530" s="32">
        <f t="shared" si="137"/>
        <v>0</v>
      </c>
      <c r="J530" s="44"/>
      <c r="K530" s="45"/>
      <c r="L530" s="32">
        <f t="shared" si="138"/>
        <v>0</v>
      </c>
      <c r="M530" s="44"/>
      <c r="N530" s="45"/>
      <c r="O530" s="32">
        <f t="shared" si="139"/>
        <v>0</v>
      </c>
      <c r="P530" s="32">
        <f t="shared" si="140"/>
        <v>0</v>
      </c>
      <c r="Q530" s="101"/>
      <c r="R530" s="101"/>
      <c r="S530" s="101"/>
      <c r="IO530" s="81"/>
      <c r="IP530" s="81"/>
      <c r="IQ530" s="81"/>
      <c r="IR530" s="81"/>
      <c r="IS530" s="81"/>
    </row>
    <row r="531" spans="1:254" s="80" customFormat="1" ht="16.5" customHeight="1">
      <c r="A531" s="46" t="s">
        <v>34</v>
      </c>
      <c r="B531" s="88"/>
      <c r="C531" s="83"/>
      <c r="D531" s="83"/>
      <c r="E531" s="84"/>
      <c r="F531" s="32">
        <f t="shared" si="136"/>
        <v>0</v>
      </c>
      <c r="G531" s="83"/>
      <c r="H531" s="84"/>
      <c r="I531" s="32">
        <f t="shared" si="137"/>
        <v>0</v>
      </c>
      <c r="J531" s="83"/>
      <c r="K531" s="84"/>
      <c r="L531" s="32">
        <f t="shared" si="138"/>
        <v>0</v>
      </c>
      <c r="M531" s="83"/>
      <c r="N531" s="84"/>
      <c r="O531" s="32">
        <f t="shared" si="139"/>
        <v>0</v>
      </c>
      <c r="P531" s="32">
        <f t="shared" si="140"/>
        <v>0</v>
      </c>
      <c r="Q531" s="175"/>
      <c r="R531" s="176"/>
      <c r="S531" s="176"/>
      <c r="IP531" s="81"/>
      <c r="IQ531" s="81"/>
      <c r="IR531" s="81"/>
      <c r="IS531" s="81"/>
      <c r="IT531" s="81"/>
    </row>
    <row r="532" spans="1:254" s="80" customFormat="1" ht="16.5" customHeight="1">
      <c r="A532" s="41" t="s">
        <v>35</v>
      </c>
      <c r="B532" s="88"/>
      <c r="C532" s="83"/>
      <c r="D532" s="83"/>
      <c r="E532" s="84"/>
      <c r="F532" s="32">
        <f t="shared" si="136"/>
        <v>0</v>
      </c>
      <c r="G532" s="83"/>
      <c r="H532" s="84"/>
      <c r="I532" s="32">
        <f t="shared" si="137"/>
        <v>0</v>
      </c>
      <c r="J532" s="83"/>
      <c r="K532" s="84"/>
      <c r="L532" s="32">
        <f t="shared" si="138"/>
        <v>0</v>
      </c>
      <c r="M532" s="83"/>
      <c r="N532" s="84"/>
      <c r="O532" s="32">
        <f t="shared" si="139"/>
        <v>0</v>
      </c>
      <c r="P532" s="32">
        <f t="shared" si="140"/>
        <v>0</v>
      </c>
      <c r="Q532" s="175"/>
      <c r="R532" s="175"/>
      <c r="S532" s="176"/>
      <c r="IP532" s="81"/>
      <c r="IQ532" s="81"/>
      <c r="IR532" s="81"/>
      <c r="IS532" s="81"/>
      <c r="IT532" s="81"/>
    </row>
    <row r="533" spans="1:254" s="80" customFormat="1" ht="18" customHeight="1">
      <c r="A533" s="41" t="s">
        <v>36</v>
      </c>
      <c r="B533" s="88"/>
      <c r="C533" s="83"/>
      <c r="D533" s="83"/>
      <c r="E533" s="84"/>
      <c r="F533" s="32">
        <f t="shared" si="136"/>
        <v>0</v>
      </c>
      <c r="G533" s="83"/>
      <c r="H533" s="84"/>
      <c r="I533" s="32">
        <f t="shared" si="137"/>
        <v>0</v>
      </c>
      <c r="J533" s="83"/>
      <c r="K533" s="84"/>
      <c r="L533" s="32">
        <f t="shared" si="138"/>
        <v>0</v>
      </c>
      <c r="M533" s="83"/>
      <c r="N533" s="84"/>
      <c r="O533" s="32">
        <f t="shared" si="139"/>
        <v>0</v>
      </c>
      <c r="P533" s="32">
        <f t="shared" si="140"/>
        <v>0</v>
      </c>
      <c r="Q533" s="101"/>
      <c r="R533" s="101"/>
      <c r="S533" s="102"/>
      <c r="IP533" s="81"/>
      <c r="IQ533" s="81"/>
      <c r="IR533" s="81"/>
      <c r="IS533" s="81"/>
      <c r="IT533" s="81"/>
    </row>
    <row r="534" spans="1:254" s="80" customFormat="1" ht="16.5" customHeight="1" hidden="1">
      <c r="A534" s="41"/>
      <c r="B534" s="88"/>
      <c r="C534" s="83"/>
      <c r="D534" s="83"/>
      <c r="E534" s="84"/>
      <c r="F534" s="32">
        <f t="shared" si="136"/>
        <v>0</v>
      </c>
      <c r="G534" s="83"/>
      <c r="H534" s="84"/>
      <c r="I534" s="32">
        <f t="shared" si="137"/>
        <v>0</v>
      </c>
      <c r="J534" s="83"/>
      <c r="K534" s="84"/>
      <c r="L534" s="32">
        <f t="shared" si="138"/>
        <v>0</v>
      </c>
      <c r="M534" s="83"/>
      <c r="N534" s="84"/>
      <c r="O534" s="32">
        <f t="shared" si="139"/>
        <v>0</v>
      </c>
      <c r="P534" s="32">
        <f t="shared" si="140"/>
        <v>0</v>
      </c>
      <c r="Q534" s="89"/>
      <c r="R534" s="89"/>
      <c r="IP534" s="81"/>
      <c r="IQ534" s="81"/>
      <c r="IR534" s="81"/>
      <c r="IS534" s="81"/>
      <c r="IT534" s="81"/>
    </row>
    <row r="535" spans="1:254" s="93" customFormat="1" ht="16.5" customHeight="1" hidden="1">
      <c r="A535" s="42"/>
      <c r="B535" s="31"/>
      <c r="C535" s="90"/>
      <c r="D535" s="90"/>
      <c r="E535" s="91"/>
      <c r="F535" s="32">
        <f t="shared" si="136"/>
        <v>0</v>
      </c>
      <c r="G535" s="90"/>
      <c r="H535" s="91"/>
      <c r="I535" s="32">
        <f t="shared" si="137"/>
        <v>0</v>
      </c>
      <c r="J535" s="90"/>
      <c r="K535" s="91"/>
      <c r="L535" s="32">
        <f t="shared" si="138"/>
        <v>0</v>
      </c>
      <c r="M535" s="90"/>
      <c r="N535" s="91"/>
      <c r="O535" s="32">
        <f t="shared" si="139"/>
        <v>0</v>
      </c>
      <c r="P535" s="32">
        <f t="shared" si="140"/>
        <v>0</v>
      </c>
      <c r="Q535" s="92"/>
      <c r="R535" s="92"/>
      <c r="IP535" s="94"/>
      <c r="IQ535" s="94"/>
      <c r="IR535" s="94"/>
      <c r="IS535" s="94"/>
      <c r="IT535" s="94"/>
    </row>
    <row r="536" spans="1:254" s="93" customFormat="1" ht="16.5" customHeight="1" hidden="1">
      <c r="A536" s="41" t="s">
        <v>37</v>
      </c>
      <c r="B536" s="31"/>
      <c r="C536" s="95"/>
      <c r="D536" s="95"/>
      <c r="E536" s="96"/>
      <c r="F536" s="32">
        <f t="shared" si="136"/>
        <v>0</v>
      </c>
      <c r="G536" s="95"/>
      <c r="H536" s="96"/>
      <c r="I536" s="32">
        <f t="shared" si="137"/>
        <v>0</v>
      </c>
      <c r="J536" s="95"/>
      <c r="K536" s="96"/>
      <c r="L536" s="32">
        <f t="shared" si="138"/>
        <v>0</v>
      </c>
      <c r="M536" s="95"/>
      <c r="N536" s="96"/>
      <c r="O536" s="32">
        <f t="shared" si="139"/>
        <v>0</v>
      </c>
      <c r="P536" s="32">
        <f t="shared" si="140"/>
        <v>0</v>
      </c>
      <c r="Q536" s="89"/>
      <c r="R536" s="89"/>
      <c r="S536" s="80"/>
      <c r="IP536" s="94"/>
      <c r="IQ536" s="94"/>
      <c r="IR536" s="94"/>
      <c r="IS536" s="94"/>
      <c r="IT536" s="94"/>
    </row>
    <row r="537" spans="1:254" s="93" customFormat="1" ht="16.5" customHeight="1" hidden="1">
      <c r="A537" s="41" t="s">
        <v>38</v>
      </c>
      <c r="B537" s="31"/>
      <c r="C537" s="95"/>
      <c r="D537" s="95"/>
      <c r="E537" s="96"/>
      <c r="F537" s="32">
        <f t="shared" si="136"/>
        <v>0</v>
      </c>
      <c r="G537" s="95"/>
      <c r="H537" s="96"/>
      <c r="I537" s="32">
        <f t="shared" si="137"/>
        <v>0</v>
      </c>
      <c r="J537" s="95"/>
      <c r="K537" s="96"/>
      <c r="L537" s="32">
        <f t="shared" si="138"/>
        <v>0</v>
      </c>
      <c r="M537" s="95"/>
      <c r="N537" s="96"/>
      <c r="O537" s="32">
        <f t="shared" si="139"/>
        <v>0</v>
      </c>
      <c r="P537" s="32">
        <f t="shared" si="140"/>
        <v>0</v>
      </c>
      <c r="Q537" s="89"/>
      <c r="R537" s="89"/>
      <c r="S537" s="80"/>
      <c r="IP537" s="94"/>
      <c r="IQ537" s="94"/>
      <c r="IR537" s="94"/>
      <c r="IS537" s="94"/>
      <c r="IT537" s="94"/>
    </row>
    <row r="538" spans="1:254" s="93" customFormat="1" ht="16.5" customHeight="1" hidden="1">
      <c r="A538" s="41" t="s">
        <v>39</v>
      </c>
      <c r="B538" s="31"/>
      <c r="C538" s="95"/>
      <c r="D538" s="95"/>
      <c r="E538" s="96"/>
      <c r="F538" s="32">
        <f t="shared" si="136"/>
        <v>0</v>
      </c>
      <c r="G538" s="95"/>
      <c r="H538" s="96"/>
      <c r="I538" s="32">
        <f t="shared" si="137"/>
        <v>0</v>
      </c>
      <c r="J538" s="95"/>
      <c r="K538" s="96"/>
      <c r="L538" s="32">
        <f t="shared" si="138"/>
        <v>0</v>
      </c>
      <c r="M538" s="95"/>
      <c r="N538" s="96"/>
      <c r="O538" s="32">
        <f t="shared" si="139"/>
        <v>0</v>
      </c>
      <c r="P538" s="32">
        <f t="shared" si="140"/>
        <v>0</v>
      </c>
      <c r="Q538" s="89"/>
      <c r="R538" s="89"/>
      <c r="S538" s="80"/>
      <c r="IP538" s="94"/>
      <c r="IQ538" s="94"/>
      <c r="IR538" s="94"/>
      <c r="IS538" s="94"/>
      <c r="IT538" s="94"/>
    </row>
    <row r="539" spans="1:254" s="93" customFormat="1" ht="16.5" customHeight="1" hidden="1">
      <c r="A539" s="41" t="s">
        <v>49</v>
      </c>
      <c r="B539" s="31"/>
      <c r="C539" s="95"/>
      <c r="D539" s="95"/>
      <c r="E539" s="96"/>
      <c r="F539" s="32">
        <f t="shared" si="136"/>
        <v>0</v>
      </c>
      <c r="G539" s="95"/>
      <c r="H539" s="96"/>
      <c r="I539" s="32">
        <f t="shared" si="137"/>
        <v>0</v>
      </c>
      <c r="J539" s="95"/>
      <c r="K539" s="96"/>
      <c r="L539" s="32">
        <f t="shared" si="138"/>
        <v>0</v>
      </c>
      <c r="M539" s="95"/>
      <c r="N539" s="96"/>
      <c r="O539" s="32">
        <f t="shared" si="139"/>
        <v>0</v>
      </c>
      <c r="P539" s="32">
        <f t="shared" si="140"/>
        <v>0</v>
      </c>
      <c r="Q539" s="89"/>
      <c r="R539" s="89"/>
      <c r="S539" s="80"/>
      <c r="IP539" s="94"/>
      <c r="IQ539" s="94"/>
      <c r="IR539" s="94"/>
      <c r="IS539" s="94"/>
      <c r="IT539" s="94"/>
    </row>
    <row r="540" spans="1:254" s="99" customFormat="1" ht="30" hidden="1">
      <c r="A540" s="52" t="s">
        <v>40</v>
      </c>
      <c r="B540" s="97"/>
      <c r="C540" s="95"/>
      <c r="D540" s="95"/>
      <c r="E540" s="96"/>
      <c r="F540" s="32">
        <f aca="true" t="shared" si="141" ref="F540:F571">D540+E540</f>
        <v>0</v>
      </c>
      <c r="G540" s="95"/>
      <c r="H540" s="96"/>
      <c r="I540" s="32">
        <f aca="true" t="shared" si="142" ref="I540:I571">G540+H540</f>
        <v>0</v>
      </c>
      <c r="J540" s="95"/>
      <c r="K540" s="96"/>
      <c r="L540" s="32">
        <f aca="true" t="shared" si="143" ref="L540:L571">J540+K540</f>
        <v>0</v>
      </c>
      <c r="M540" s="95"/>
      <c r="N540" s="96"/>
      <c r="O540" s="32">
        <f aca="true" t="shared" si="144" ref="O540:O571">M540+N540</f>
        <v>0</v>
      </c>
      <c r="P540" s="32">
        <f aca="true" t="shared" si="145" ref="P540:P571">F540+I540+L540+O540</f>
        <v>0</v>
      </c>
      <c r="Q540" s="98"/>
      <c r="R540" s="98"/>
      <c r="IP540" s="100"/>
      <c r="IQ540" s="100"/>
      <c r="IR540" s="100"/>
      <c r="IS540" s="100"/>
      <c r="IT540" s="100"/>
    </row>
    <row r="541" spans="1:253" s="80" customFormat="1" ht="31.5" customHeight="1">
      <c r="A541" s="25" t="s">
        <v>130</v>
      </c>
      <c r="B541" s="31" t="s">
        <v>134</v>
      </c>
      <c r="C541" s="44">
        <f>C542+C543+C544</f>
        <v>146513</v>
      </c>
      <c r="D541" s="44">
        <f>D542+D543+D544</f>
        <v>72344</v>
      </c>
      <c r="E541" s="45"/>
      <c r="F541" s="32">
        <f t="shared" si="141"/>
        <v>72344</v>
      </c>
      <c r="G541" s="44">
        <f>G542+G543+G544</f>
        <v>74169</v>
      </c>
      <c r="H541" s="45"/>
      <c r="I541" s="32">
        <f t="shared" si="142"/>
        <v>74169</v>
      </c>
      <c r="J541" s="44">
        <f>J542+J543+J544</f>
        <v>0</v>
      </c>
      <c r="K541" s="45"/>
      <c r="L541" s="32">
        <f t="shared" si="143"/>
        <v>0</v>
      </c>
      <c r="M541" s="44">
        <f>M542+M543+M544</f>
        <v>0</v>
      </c>
      <c r="N541" s="45"/>
      <c r="O541" s="32">
        <f t="shared" si="144"/>
        <v>0</v>
      </c>
      <c r="P541" s="32">
        <f t="shared" si="145"/>
        <v>146513</v>
      </c>
      <c r="Q541" s="101"/>
      <c r="R541" s="101"/>
      <c r="S541" s="101"/>
      <c r="IO541" s="81"/>
      <c r="IP541" s="81"/>
      <c r="IQ541" s="81"/>
      <c r="IR541" s="81"/>
      <c r="IS541" s="81"/>
    </row>
    <row r="542" spans="1:254" s="80" customFormat="1" ht="16.5" customHeight="1">
      <c r="A542" s="46" t="s">
        <v>34</v>
      </c>
      <c r="B542" s="88"/>
      <c r="C542" s="83">
        <v>18469</v>
      </c>
      <c r="D542" s="83">
        <v>9119</v>
      </c>
      <c r="E542" s="84"/>
      <c r="F542" s="32">
        <f t="shared" si="141"/>
        <v>9119</v>
      </c>
      <c r="G542" s="83">
        <v>9350</v>
      </c>
      <c r="H542" s="84"/>
      <c r="I542" s="32">
        <f t="shared" si="142"/>
        <v>9350</v>
      </c>
      <c r="J542" s="83">
        <v>0</v>
      </c>
      <c r="K542" s="84"/>
      <c r="L542" s="32">
        <f t="shared" si="143"/>
        <v>0</v>
      </c>
      <c r="M542" s="83">
        <v>0</v>
      </c>
      <c r="N542" s="84"/>
      <c r="O542" s="32">
        <f t="shared" si="144"/>
        <v>0</v>
      </c>
      <c r="P542" s="32">
        <f t="shared" si="145"/>
        <v>18469</v>
      </c>
      <c r="Q542" s="175"/>
      <c r="R542" s="176"/>
      <c r="S542" s="176"/>
      <c r="IP542" s="81"/>
      <c r="IQ542" s="81"/>
      <c r="IR542" s="81"/>
      <c r="IS542" s="81"/>
      <c r="IT542" s="81"/>
    </row>
    <row r="543" spans="1:254" s="80" customFormat="1" ht="16.5" customHeight="1">
      <c r="A543" s="41" t="s">
        <v>35</v>
      </c>
      <c r="B543" s="88"/>
      <c r="C543" s="83">
        <v>104659</v>
      </c>
      <c r="D543" s="83">
        <v>51674</v>
      </c>
      <c r="E543" s="84"/>
      <c r="F543" s="32">
        <f t="shared" si="141"/>
        <v>51674</v>
      </c>
      <c r="G543" s="83">
        <v>52985</v>
      </c>
      <c r="H543" s="84"/>
      <c r="I543" s="32">
        <f t="shared" si="142"/>
        <v>52985</v>
      </c>
      <c r="J543" s="83">
        <v>0</v>
      </c>
      <c r="K543" s="84"/>
      <c r="L543" s="32">
        <f t="shared" si="143"/>
        <v>0</v>
      </c>
      <c r="M543" s="83">
        <v>0</v>
      </c>
      <c r="N543" s="84"/>
      <c r="O543" s="32">
        <f t="shared" si="144"/>
        <v>0</v>
      </c>
      <c r="P543" s="32">
        <f t="shared" si="145"/>
        <v>104659</v>
      </c>
      <c r="Q543" s="175"/>
      <c r="R543" s="175"/>
      <c r="S543" s="176"/>
      <c r="IP543" s="81"/>
      <c r="IQ543" s="81"/>
      <c r="IR543" s="81"/>
      <c r="IS543" s="81"/>
      <c r="IT543" s="81"/>
    </row>
    <row r="544" spans="1:254" s="80" customFormat="1" ht="17.25" customHeight="1">
      <c r="A544" s="41" t="s">
        <v>36</v>
      </c>
      <c r="B544" s="88"/>
      <c r="C544" s="83">
        <v>23385</v>
      </c>
      <c r="D544" s="83">
        <v>11551</v>
      </c>
      <c r="E544" s="84"/>
      <c r="F544" s="32">
        <f t="shared" si="141"/>
        <v>11551</v>
      </c>
      <c r="G544" s="83">
        <v>11834</v>
      </c>
      <c r="H544" s="84"/>
      <c r="I544" s="32">
        <f t="shared" si="142"/>
        <v>11834</v>
      </c>
      <c r="J544" s="83">
        <v>0</v>
      </c>
      <c r="K544" s="84"/>
      <c r="L544" s="32">
        <f t="shared" si="143"/>
        <v>0</v>
      </c>
      <c r="M544" s="83">
        <v>0</v>
      </c>
      <c r="N544" s="84"/>
      <c r="O544" s="32">
        <f t="shared" si="144"/>
        <v>0</v>
      </c>
      <c r="P544" s="32">
        <f t="shared" si="145"/>
        <v>23385</v>
      </c>
      <c r="Q544" s="101"/>
      <c r="R544" s="101"/>
      <c r="S544" s="102"/>
      <c r="IP544" s="81"/>
      <c r="IQ544" s="81"/>
      <c r="IR544" s="81"/>
      <c r="IS544" s="81"/>
      <c r="IT544" s="81"/>
    </row>
    <row r="545" spans="1:254" s="80" customFormat="1" ht="16.5" customHeight="1" hidden="1">
      <c r="A545" s="41"/>
      <c r="B545" s="88"/>
      <c r="C545" s="83"/>
      <c r="D545" s="83"/>
      <c r="E545" s="84"/>
      <c r="F545" s="32">
        <f t="shared" si="141"/>
        <v>0</v>
      </c>
      <c r="G545" s="83"/>
      <c r="H545" s="84"/>
      <c r="I545" s="32">
        <f t="shared" si="142"/>
        <v>0</v>
      </c>
      <c r="J545" s="83"/>
      <c r="K545" s="84"/>
      <c r="L545" s="32">
        <f t="shared" si="143"/>
        <v>0</v>
      </c>
      <c r="M545" s="83"/>
      <c r="N545" s="84"/>
      <c r="O545" s="32">
        <f t="shared" si="144"/>
        <v>0</v>
      </c>
      <c r="P545" s="32">
        <f t="shared" si="145"/>
        <v>0</v>
      </c>
      <c r="Q545" s="103"/>
      <c r="R545" s="103"/>
      <c r="S545" s="102"/>
      <c r="IP545" s="81"/>
      <c r="IQ545" s="81"/>
      <c r="IR545" s="81"/>
      <c r="IS545" s="81"/>
      <c r="IT545" s="81"/>
    </row>
    <row r="546" spans="1:254" s="93" customFormat="1" ht="16.5" customHeight="1" hidden="1">
      <c r="A546" s="42"/>
      <c r="B546" s="31"/>
      <c r="C546" s="90">
        <f>C547+C548+C549+C551+C550</f>
        <v>146513.10000000003</v>
      </c>
      <c r="D546" s="90">
        <f>D547+D548+D549+D551+D550</f>
        <v>51445</v>
      </c>
      <c r="E546" s="91"/>
      <c r="F546" s="32">
        <f t="shared" si="141"/>
        <v>51445</v>
      </c>
      <c r="G546" s="90">
        <f>G547+G548+G549+G551+G550</f>
        <v>95067.44</v>
      </c>
      <c r="H546" s="91"/>
      <c r="I546" s="32">
        <f t="shared" si="142"/>
        <v>95067.44</v>
      </c>
      <c r="J546" s="90">
        <f>J547+J548+J549+J551+J550</f>
        <v>0</v>
      </c>
      <c r="K546" s="91"/>
      <c r="L546" s="32">
        <f t="shared" si="143"/>
        <v>0</v>
      </c>
      <c r="M546" s="90">
        <f>M547+M548+M549+M551+M550</f>
        <v>0</v>
      </c>
      <c r="N546" s="91"/>
      <c r="O546" s="32">
        <f t="shared" si="144"/>
        <v>0</v>
      </c>
      <c r="P546" s="32">
        <f t="shared" si="145"/>
        <v>146512.44</v>
      </c>
      <c r="Q546" s="92"/>
      <c r="R546" s="92"/>
      <c r="IP546" s="94"/>
      <c r="IQ546" s="94"/>
      <c r="IR546" s="94"/>
      <c r="IS546" s="94"/>
      <c r="IT546" s="94"/>
    </row>
    <row r="547" spans="1:254" s="80" customFormat="1" ht="16.5" customHeight="1" hidden="1">
      <c r="A547" s="41" t="s">
        <v>37</v>
      </c>
      <c r="B547" s="88"/>
      <c r="C547" s="95">
        <f>(123080+48)*0.13+123080*0.19</f>
        <v>39391.840000000004</v>
      </c>
      <c r="D547" s="83">
        <v>0</v>
      </c>
      <c r="E547" s="84"/>
      <c r="F547" s="32">
        <f t="shared" si="141"/>
        <v>0</v>
      </c>
      <c r="G547" s="83">
        <f>(G542+G543+D542+D543)*0.13+D544+G544</f>
        <v>39391.64</v>
      </c>
      <c r="H547" s="84"/>
      <c r="I547" s="32">
        <f t="shared" si="142"/>
        <v>39391.64</v>
      </c>
      <c r="J547" s="83">
        <f>(J542+J543)*0.13</f>
        <v>0</v>
      </c>
      <c r="K547" s="84"/>
      <c r="L547" s="32">
        <f t="shared" si="143"/>
        <v>0</v>
      </c>
      <c r="M547" s="83">
        <f>(M542+M543)*0.13</f>
        <v>0</v>
      </c>
      <c r="N547" s="84"/>
      <c r="O547" s="32">
        <f t="shared" si="144"/>
        <v>0</v>
      </c>
      <c r="P547" s="32">
        <f t="shared" si="145"/>
        <v>39391.64</v>
      </c>
      <c r="Q547" s="89"/>
      <c r="R547" s="89"/>
      <c r="IP547" s="81"/>
      <c r="IQ547" s="81"/>
      <c r="IR547" s="81"/>
      <c r="IS547" s="81"/>
      <c r="IT547" s="81"/>
    </row>
    <row r="548" spans="1:254" s="80" customFormat="1" ht="16.5" customHeight="1" hidden="1">
      <c r="A548" s="41" t="s">
        <v>38</v>
      </c>
      <c r="B548" s="88"/>
      <c r="C548" s="95">
        <f>(123080+48)*0.85-C550-C549</f>
        <v>53643.8</v>
      </c>
      <c r="D548" s="83">
        <v>0</v>
      </c>
      <c r="E548" s="84"/>
      <c r="F548" s="32">
        <f t="shared" si="141"/>
        <v>0</v>
      </c>
      <c r="G548" s="83">
        <f>(G542+G543+D542+D543)*0.85-C550-G549</f>
        <v>53643.8</v>
      </c>
      <c r="H548" s="84"/>
      <c r="I548" s="32">
        <f t="shared" si="142"/>
        <v>53643.8</v>
      </c>
      <c r="J548" s="83">
        <f>(J542+J543)*0.85</f>
        <v>0</v>
      </c>
      <c r="K548" s="84"/>
      <c r="L548" s="32">
        <f t="shared" si="143"/>
        <v>0</v>
      </c>
      <c r="M548" s="83">
        <f>(M542+M543)*0.85</f>
        <v>0</v>
      </c>
      <c r="N548" s="84"/>
      <c r="O548" s="32">
        <f t="shared" si="144"/>
        <v>0</v>
      </c>
      <c r="P548" s="32">
        <f t="shared" si="145"/>
        <v>53643.8</v>
      </c>
      <c r="Q548" s="89"/>
      <c r="R548" s="89"/>
      <c r="IP548" s="81"/>
      <c r="IQ548" s="81"/>
      <c r="IR548" s="81"/>
      <c r="IS548" s="81"/>
      <c r="IT548" s="81"/>
    </row>
    <row r="549" spans="1:254" s="80" customFormat="1" ht="16.5" customHeight="1" hidden="1">
      <c r="A549" s="41" t="s">
        <v>39</v>
      </c>
      <c r="B549" s="88"/>
      <c r="C549" s="95">
        <v>0</v>
      </c>
      <c r="D549" s="136">
        <v>0</v>
      </c>
      <c r="E549" s="137"/>
      <c r="F549" s="32">
        <f t="shared" si="141"/>
        <v>0</v>
      </c>
      <c r="G549" s="136">
        <f>C549-D549</f>
        <v>0</v>
      </c>
      <c r="H549" s="137"/>
      <c r="I549" s="32">
        <f t="shared" si="142"/>
        <v>0</v>
      </c>
      <c r="J549" s="136">
        <v>0</v>
      </c>
      <c r="K549" s="137"/>
      <c r="L549" s="32">
        <f t="shared" si="143"/>
        <v>0</v>
      </c>
      <c r="M549" s="136">
        <v>0</v>
      </c>
      <c r="N549" s="137"/>
      <c r="O549" s="32">
        <f t="shared" si="144"/>
        <v>0</v>
      </c>
      <c r="P549" s="32">
        <f t="shared" si="145"/>
        <v>0</v>
      </c>
      <c r="Q549" s="89"/>
      <c r="R549" s="89"/>
      <c r="IP549" s="81"/>
      <c r="IQ549" s="81"/>
      <c r="IR549" s="81"/>
      <c r="IS549" s="81"/>
      <c r="IT549" s="81"/>
    </row>
    <row r="550" spans="1:254" s="80" customFormat="1" ht="16.5" customHeight="1" hidden="1">
      <c r="A550" s="41" t="s">
        <v>49</v>
      </c>
      <c r="B550" s="88"/>
      <c r="C550" s="95">
        <v>51015</v>
      </c>
      <c r="D550" s="95">
        <f>C550</f>
        <v>51015</v>
      </c>
      <c r="E550" s="96"/>
      <c r="F550" s="32">
        <f t="shared" si="141"/>
        <v>51015</v>
      </c>
      <c r="G550" s="95">
        <v>0</v>
      </c>
      <c r="H550" s="96"/>
      <c r="I550" s="32">
        <f t="shared" si="142"/>
        <v>0</v>
      </c>
      <c r="J550" s="95">
        <v>0</v>
      </c>
      <c r="K550" s="96"/>
      <c r="L550" s="32">
        <f t="shared" si="143"/>
        <v>0</v>
      </c>
      <c r="M550" s="95">
        <v>0</v>
      </c>
      <c r="N550" s="96"/>
      <c r="O550" s="32">
        <f t="shared" si="144"/>
        <v>0</v>
      </c>
      <c r="P550" s="32">
        <f t="shared" si="145"/>
        <v>51015</v>
      </c>
      <c r="Q550" s="89"/>
      <c r="R550" s="89"/>
      <c r="IP550" s="81"/>
      <c r="IQ550" s="81"/>
      <c r="IR550" s="81"/>
      <c r="IS550" s="81"/>
      <c r="IT550" s="81"/>
    </row>
    <row r="551" spans="1:254" s="99" customFormat="1" ht="30" hidden="1">
      <c r="A551" s="52" t="s">
        <v>40</v>
      </c>
      <c r="B551" s="97"/>
      <c r="C551" s="95">
        <f>(123080+48)*2/100-0.1</f>
        <v>2462.46</v>
      </c>
      <c r="D551" s="83">
        <v>430</v>
      </c>
      <c r="E551" s="84"/>
      <c r="F551" s="32">
        <f t="shared" si="141"/>
        <v>430</v>
      </c>
      <c r="G551" s="83">
        <v>2032</v>
      </c>
      <c r="H551" s="84"/>
      <c r="I551" s="32">
        <f t="shared" si="142"/>
        <v>2032</v>
      </c>
      <c r="J551" s="83">
        <f>(J542+J543)*2/100</f>
        <v>0</v>
      </c>
      <c r="K551" s="84"/>
      <c r="L551" s="32">
        <f t="shared" si="143"/>
        <v>0</v>
      </c>
      <c r="M551" s="83">
        <f>(M542+M543)*2/100</f>
        <v>0</v>
      </c>
      <c r="N551" s="84"/>
      <c r="O551" s="32">
        <f t="shared" si="144"/>
        <v>0</v>
      </c>
      <c r="P551" s="32">
        <f t="shared" si="145"/>
        <v>2462</v>
      </c>
      <c r="Q551" s="98"/>
      <c r="R551" s="98"/>
      <c r="IP551" s="100"/>
      <c r="IQ551" s="100"/>
      <c r="IR551" s="100"/>
      <c r="IS551" s="100"/>
      <c r="IT551" s="100"/>
    </row>
    <row r="552" spans="1:253" s="80" customFormat="1" ht="93" customHeight="1">
      <c r="A552" s="121" t="s">
        <v>130</v>
      </c>
      <c r="B552" s="31" t="s">
        <v>135</v>
      </c>
      <c r="C552" s="44">
        <f>C553+C554+C555</f>
        <v>6620.999999999999</v>
      </c>
      <c r="D552" s="44">
        <f>D553+D554+D555</f>
        <v>1656</v>
      </c>
      <c r="E552" s="45"/>
      <c r="F552" s="32">
        <f t="shared" si="141"/>
        <v>1656</v>
      </c>
      <c r="G552" s="44">
        <f>G553+G554+G555</f>
        <v>4965</v>
      </c>
      <c r="H552" s="45"/>
      <c r="I552" s="32">
        <f t="shared" si="142"/>
        <v>4965</v>
      </c>
      <c r="J552" s="44">
        <f>J553+J554+J555</f>
        <v>0</v>
      </c>
      <c r="K552" s="45"/>
      <c r="L552" s="32">
        <f t="shared" si="143"/>
        <v>0</v>
      </c>
      <c r="M552" s="44">
        <f>M553+M554+M555</f>
        <v>0</v>
      </c>
      <c r="N552" s="45"/>
      <c r="O552" s="32">
        <f t="shared" si="144"/>
        <v>0</v>
      </c>
      <c r="P552" s="32">
        <f t="shared" si="145"/>
        <v>6621</v>
      </c>
      <c r="Q552" s="101"/>
      <c r="R552" s="101"/>
      <c r="S552" s="101"/>
      <c r="T552" s="93"/>
      <c r="U552" s="93"/>
      <c r="IO552" s="81"/>
      <c r="IP552" s="81"/>
      <c r="IQ552" s="81"/>
      <c r="IR552" s="81"/>
      <c r="IS552" s="81"/>
    </row>
    <row r="553" spans="1:254" s="80" customFormat="1" ht="15" customHeight="1">
      <c r="A553" s="46" t="s">
        <v>34</v>
      </c>
      <c r="B553" s="88"/>
      <c r="C553" s="83">
        <f>6621*0.15</f>
        <v>993.15</v>
      </c>
      <c r="D553" s="83">
        <v>249</v>
      </c>
      <c r="E553" s="84"/>
      <c r="F553" s="32">
        <f t="shared" si="141"/>
        <v>249</v>
      </c>
      <c r="G553" s="83">
        <v>744</v>
      </c>
      <c r="H553" s="84"/>
      <c r="I553" s="32">
        <f t="shared" si="142"/>
        <v>744</v>
      </c>
      <c r="J553" s="83">
        <v>0</v>
      </c>
      <c r="K553" s="84"/>
      <c r="L553" s="32">
        <f t="shared" si="143"/>
        <v>0</v>
      </c>
      <c r="M553" s="83">
        <v>0</v>
      </c>
      <c r="N553" s="84"/>
      <c r="O553" s="32">
        <f t="shared" si="144"/>
        <v>0</v>
      </c>
      <c r="P553" s="32">
        <f t="shared" si="145"/>
        <v>993</v>
      </c>
      <c r="Q553" s="175"/>
      <c r="R553" s="175"/>
      <c r="S553" s="176"/>
      <c r="IP553" s="81"/>
      <c r="IQ553" s="81"/>
      <c r="IR553" s="81"/>
      <c r="IS553" s="81"/>
      <c r="IT553" s="81"/>
    </row>
    <row r="554" spans="1:254" s="80" customFormat="1" ht="16.5" customHeight="1">
      <c r="A554" s="41" t="s">
        <v>35</v>
      </c>
      <c r="B554" s="88"/>
      <c r="C554" s="83">
        <f>6621*0.85</f>
        <v>5627.849999999999</v>
      </c>
      <c r="D554" s="83">
        <v>1407</v>
      </c>
      <c r="E554" s="84"/>
      <c r="F554" s="32">
        <f t="shared" si="141"/>
        <v>1407</v>
      </c>
      <c r="G554" s="83">
        <v>4221</v>
      </c>
      <c r="H554" s="84"/>
      <c r="I554" s="32">
        <f t="shared" si="142"/>
        <v>4221</v>
      </c>
      <c r="J554" s="83">
        <v>0</v>
      </c>
      <c r="K554" s="84"/>
      <c r="L554" s="32">
        <f t="shared" si="143"/>
        <v>0</v>
      </c>
      <c r="M554" s="83">
        <v>0</v>
      </c>
      <c r="N554" s="84"/>
      <c r="O554" s="32">
        <f t="shared" si="144"/>
        <v>0</v>
      </c>
      <c r="P554" s="32">
        <f t="shared" si="145"/>
        <v>5628</v>
      </c>
      <c r="Q554" s="175"/>
      <c r="R554" s="175"/>
      <c r="S554" s="176"/>
      <c r="IP554" s="81"/>
      <c r="IQ554" s="81"/>
      <c r="IR554" s="81"/>
      <c r="IS554" s="81"/>
      <c r="IT554" s="81"/>
    </row>
    <row r="555" spans="1:254" s="80" customFormat="1" ht="15" customHeight="1">
      <c r="A555" s="41" t="s">
        <v>36</v>
      </c>
      <c r="B555" s="88"/>
      <c r="C555" s="83">
        <v>0</v>
      </c>
      <c r="D555" s="83">
        <v>0</v>
      </c>
      <c r="E555" s="84"/>
      <c r="F555" s="32">
        <f t="shared" si="141"/>
        <v>0</v>
      </c>
      <c r="G555" s="83">
        <v>0</v>
      </c>
      <c r="H555" s="84"/>
      <c r="I555" s="32">
        <f t="shared" si="142"/>
        <v>0</v>
      </c>
      <c r="J555" s="83">
        <v>0</v>
      </c>
      <c r="K555" s="84"/>
      <c r="L555" s="32">
        <f t="shared" si="143"/>
        <v>0</v>
      </c>
      <c r="M555" s="83">
        <v>0</v>
      </c>
      <c r="N555" s="84"/>
      <c r="O555" s="32">
        <f t="shared" si="144"/>
        <v>0</v>
      </c>
      <c r="P555" s="32">
        <f t="shared" si="145"/>
        <v>0</v>
      </c>
      <c r="Q555" s="101"/>
      <c r="R555" s="101"/>
      <c r="S555" s="102"/>
      <c r="IP555" s="81"/>
      <c r="IQ555" s="81"/>
      <c r="IR555" s="81"/>
      <c r="IS555" s="81"/>
      <c r="IT555" s="81"/>
    </row>
    <row r="556" spans="1:254" s="80" customFormat="1" ht="16.5" customHeight="1" hidden="1">
      <c r="A556" s="41"/>
      <c r="B556" s="88"/>
      <c r="C556" s="83"/>
      <c r="D556" s="83"/>
      <c r="E556" s="84"/>
      <c r="F556" s="32">
        <f t="shared" si="141"/>
        <v>0</v>
      </c>
      <c r="G556" s="83"/>
      <c r="H556" s="84"/>
      <c r="I556" s="32">
        <f t="shared" si="142"/>
        <v>0</v>
      </c>
      <c r="J556" s="83"/>
      <c r="K556" s="84"/>
      <c r="L556" s="32">
        <f t="shared" si="143"/>
        <v>0</v>
      </c>
      <c r="M556" s="83"/>
      <c r="N556" s="84"/>
      <c r="O556" s="32">
        <f t="shared" si="144"/>
        <v>0</v>
      </c>
      <c r="P556" s="32">
        <f t="shared" si="145"/>
        <v>0</v>
      </c>
      <c r="Q556" s="103"/>
      <c r="R556" s="103"/>
      <c r="S556" s="102"/>
      <c r="IP556" s="81"/>
      <c r="IQ556" s="81"/>
      <c r="IR556" s="81"/>
      <c r="IS556" s="81"/>
      <c r="IT556" s="81"/>
    </row>
    <row r="557" spans="1:254" s="80" customFormat="1" ht="16.5" customHeight="1" hidden="1">
      <c r="A557" s="41"/>
      <c r="B557" s="88"/>
      <c r="C557" s="90">
        <f>C558+C559+C560+C562+C561</f>
        <v>6621</v>
      </c>
      <c r="D557" s="90">
        <f>D558+D559+D560+D562+D561</f>
        <v>33.12</v>
      </c>
      <c r="E557" s="91"/>
      <c r="F557" s="32">
        <f t="shared" si="141"/>
        <v>33.12</v>
      </c>
      <c r="G557" s="90">
        <f>G558+G559+G560+G562+G561</f>
        <v>6587.88</v>
      </c>
      <c r="H557" s="91"/>
      <c r="I557" s="32">
        <f t="shared" si="142"/>
        <v>6587.88</v>
      </c>
      <c r="J557" s="90">
        <f>J558+J559+J560+J562+J561</f>
        <v>0</v>
      </c>
      <c r="K557" s="91"/>
      <c r="L557" s="32">
        <f t="shared" si="143"/>
        <v>0</v>
      </c>
      <c r="M557" s="90">
        <f>M558+M559+M560+M562+M561</f>
        <v>0</v>
      </c>
      <c r="N557" s="91"/>
      <c r="O557" s="32">
        <f t="shared" si="144"/>
        <v>0</v>
      </c>
      <c r="P557" s="32">
        <f t="shared" si="145"/>
        <v>6621</v>
      </c>
      <c r="Q557" s="104"/>
      <c r="R557" s="104"/>
      <c r="S557" s="105"/>
      <c r="IP557" s="81"/>
      <c r="IQ557" s="81"/>
      <c r="IR557" s="81"/>
      <c r="IS557" s="81"/>
      <c r="IT557" s="81"/>
    </row>
    <row r="558" spans="1:254" s="80" customFormat="1" ht="16.5" customHeight="1" hidden="1">
      <c r="A558" s="41" t="s">
        <v>37</v>
      </c>
      <c r="B558" s="88"/>
      <c r="C558" s="95">
        <f>6621*0.13</f>
        <v>860.73</v>
      </c>
      <c r="D558" s="83">
        <v>0</v>
      </c>
      <c r="E558" s="84"/>
      <c r="F558" s="32">
        <f t="shared" si="141"/>
        <v>0</v>
      </c>
      <c r="G558" s="83">
        <f>(G553+G554+D553+D554)*0.13</f>
        <v>860.73</v>
      </c>
      <c r="H558" s="84"/>
      <c r="I558" s="32">
        <f t="shared" si="142"/>
        <v>860.73</v>
      </c>
      <c r="J558" s="83">
        <f>(J553+J554)*0.13</f>
        <v>0</v>
      </c>
      <c r="K558" s="84"/>
      <c r="L558" s="32">
        <f t="shared" si="143"/>
        <v>0</v>
      </c>
      <c r="M558" s="83">
        <f>(M553+M554)*0.13</f>
        <v>0</v>
      </c>
      <c r="N558" s="84"/>
      <c r="O558" s="32">
        <f t="shared" si="144"/>
        <v>0</v>
      </c>
      <c r="P558" s="32">
        <f t="shared" si="145"/>
        <v>860.73</v>
      </c>
      <c r="Q558" s="89"/>
      <c r="R558" s="89"/>
      <c r="IP558" s="81"/>
      <c r="IQ558" s="81"/>
      <c r="IR558" s="81"/>
      <c r="IS558" s="81"/>
      <c r="IT558" s="81"/>
    </row>
    <row r="559" spans="1:254" s="80" customFormat="1" ht="16.5" customHeight="1" hidden="1">
      <c r="A559" s="41" t="s">
        <v>38</v>
      </c>
      <c r="B559" s="88"/>
      <c r="C559" s="95">
        <f>6621*0.85-C561-C560</f>
        <v>5474.849999999999</v>
      </c>
      <c r="D559" s="83">
        <v>0</v>
      </c>
      <c r="E559" s="84"/>
      <c r="F559" s="32">
        <f t="shared" si="141"/>
        <v>0</v>
      </c>
      <c r="G559" s="83">
        <f>(G553+G554+D553+D554)*0.85-C561-G560</f>
        <v>5474.849999999999</v>
      </c>
      <c r="H559" s="84"/>
      <c r="I559" s="32">
        <f t="shared" si="142"/>
        <v>5474.849999999999</v>
      </c>
      <c r="J559" s="83">
        <f>(J553+J554)*0.85</f>
        <v>0</v>
      </c>
      <c r="K559" s="84"/>
      <c r="L559" s="32">
        <f t="shared" si="143"/>
        <v>0</v>
      </c>
      <c r="M559" s="83">
        <f>(M553+M554)*0.85</f>
        <v>0</v>
      </c>
      <c r="N559" s="84"/>
      <c r="O559" s="32">
        <f t="shared" si="144"/>
        <v>0</v>
      </c>
      <c r="P559" s="32">
        <f t="shared" si="145"/>
        <v>5474.849999999999</v>
      </c>
      <c r="Q559" s="89"/>
      <c r="R559" s="89"/>
      <c r="IP559" s="81"/>
      <c r="IQ559" s="81"/>
      <c r="IR559" s="81"/>
      <c r="IS559" s="81"/>
      <c r="IT559" s="81"/>
    </row>
    <row r="560" spans="1:254" s="80" customFormat="1" ht="16.5" customHeight="1" hidden="1">
      <c r="A560" s="41" t="s">
        <v>39</v>
      </c>
      <c r="B560" s="88"/>
      <c r="C560" s="95">
        <f>180*0.85</f>
        <v>153</v>
      </c>
      <c r="D560" s="136">
        <v>0</v>
      </c>
      <c r="E560" s="137"/>
      <c r="F560" s="32">
        <f t="shared" si="141"/>
        <v>0</v>
      </c>
      <c r="G560" s="136">
        <f>C560-D560</f>
        <v>153</v>
      </c>
      <c r="H560" s="137"/>
      <c r="I560" s="32">
        <f t="shared" si="142"/>
        <v>153</v>
      </c>
      <c r="J560" s="136">
        <v>0</v>
      </c>
      <c r="K560" s="137"/>
      <c r="L560" s="32">
        <f t="shared" si="143"/>
        <v>0</v>
      </c>
      <c r="M560" s="136">
        <v>0</v>
      </c>
      <c r="N560" s="137"/>
      <c r="O560" s="32">
        <f t="shared" si="144"/>
        <v>0</v>
      </c>
      <c r="P560" s="32">
        <f t="shared" si="145"/>
        <v>153</v>
      </c>
      <c r="Q560" s="89"/>
      <c r="R560" s="89"/>
      <c r="IP560" s="81"/>
      <c r="IQ560" s="81"/>
      <c r="IR560" s="81"/>
      <c r="IS560" s="81"/>
      <c r="IT560" s="81"/>
    </row>
    <row r="561" spans="1:254" s="80" customFormat="1" ht="16.5" customHeight="1" hidden="1">
      <c r="A561" s="41" t="s">
        <v>49</v>
      </c>
      <c r="B561" s="88"/>
      <c r="C561" s="95">
        <v>0</v>
      </c>
      <c r="D561" s="95">
        <f>C561</f>
        <v>0</v>
      </c>
      <c r="E561" s="96"/>
      <c r="F561" s="32">
        <f t="shared" si="141"/>
        <v>0</v>
      </c>
      <c r="G561" s="95">
        <v>0</v>
      </c>
      <c r="H561" s="96"/>
      <c r="I561" s="32">
        <f t="shared" si="142"/>
        <v>0</v>
      </c>
      <c r="J561" s="95">
        <v>0</v>
      </c>
      <c r="K561" s="96"/>
      <c r="L561" s="32">
        <f t="shared" si="143"/>
        <v>0</v>
      </c>
      <c r="M561" s="95">
        <v>0</v>
      </c>
      <c r="N561" s="96"/>
      <c r="O561" s="32">
        <f t="shared" si="144"/>
        <v>0</v>
      </c>
      <c r="P561" s="32">
        <f t="shared" si="145"/>
        <v>0</v>
      </c>
      <c r="Q561" s="89"/>
      <c r="R561" s="89"/>
      <c r="IP561" s="81"/>
      <c r="IQ561" s="81"/>
      <c r="IR561" s="81"/>
      <c r="IS561" s="81"/>
      <c r="IT561" s="81"/>
    </row>
    <row r="562" spans="1:254" s="80" customFormat="1" ht="30" hidden="1">
      <c r="A562" s="52" t="s">
        <v>40</v>
      </c>
      <c r="B562" s="88"/>
      <c r="C562" s="95">
        <f>6621*2/100+C555</f>
        <v>132.42</v>
      </c>
      <c r="D562" s="83">
        <f>D555+(D553+D554)*2/100</f>
        <v>33.12</v>
      </c>
      <c r="E562" s="84"/>
      <c r="F562" s="32">
        <f t="shared" si="141"/>
        <v>33.12</v>
      </c>
      <c r="G562" s="83">
        <f>G555+(G553+G554)*2/100</f>
        <v>99.3</v>
      </c>
      <c r="H562" s="84"/>
      <c r="I562" s="32">
        <f t="shared" si="142"/>
        <v>99.3</v>
      </c>
      <c r="J562" s="83">
        <f>J555+(J553+J554)*2/100</f>
        <v>0</v>
      </c>
      <c r="K562" s="84"/>
      <c r="L562" s="32">
        <f t="shared" si="143"/>
        <v>0</v>
      </c>
      <c r="M562" s="83">
        <f>M555+(M553+M554)*2/100</f>
        <v>0</v>
      </c>
      <c r="N562" s="84"/>
      <c r="O562" s="32">
        <f t="shared" si="144"/>
        <v>0</v>
      </c>
      <c r="P562" s="32">
        <f t="shared" si="145"/>
        <v>132.42</v>
      </c>
      <c r="Q562" s="98"/>
      <c r="R562" s="98"/>
      <c r="S562" s="99"/>
      <c r="IP562" s="81"/>
      <c r="IQ562" s="81"/>
      <c r="IR562" s="81"/>
      <c r="IS562" s="81"/>
      <c r="IT562" s="81"/>
    </row>
    <row r="563" spans="1:254" s="80" customFormat="1" ht="30" customHeight="1">
      <c r="A563" s="121" t="s">
        <v>130</v>
      </c>
      <c r="B563" s="31" t="s">
        <v>136</v>
      </c>
      <c r="C563" s="44">
        <f>C564+C565+C566</f>
        <v>92321</v>
      </c>
      <c r="D563" s="44">
        <f>D564+D565+D566</f>
        <v>6873</v>
      </c>
      <c r="E563" s="45"/>
      <c r="F563" s="32">
        <f t="shared" si="141"/>
        <v>6873</v>
      </c>
      <c r="G563" s="44">
        <f>G564+G565+G566</f>
        <v>79895</v>
      </c>
      <c r="H563" s="45"/>
      <c r="I563" s="32">
        <f t="shared" si="142"/>
        <v>79895</v>
      </c>
      <c r="J563" s="44">
        <f>J564+J565+J566</f>
        <v>5553</v>
      </c>
      <c r="K563" s="45"/>
      <c r="L563" s="32">
        <f t="shared" si="143"/>
        <v>5553</v>
      </c>
      <c r="M563" s="44">
        <f>M564+M565+M566</f>
        <v>0</v>
      </c>
      <c r="N563" s="45"/>
      <c r="O563" s="32">
        <f t="shared" si="144"/>
        <v>0</v>
      </c>
      <c r="P563" s="32">
        <f t="shared" si="145"/>
        <v>92321</v>
      </c>
      <c r="Q563" s="101"/>
      <c r="R563" s="101"/>
      <c r="S563" s="101"/>
      <c r="IP563" s="81"/>
      <c r="IQ563" s="81"/>
      <c r="IR563" s="81"/>
      <c r="IS563" s="81"/>
      <c r="IT563" s="81"/>
    </row>
    <row r="564" spans="1:254" s="80" customFormat="1" ht="14.25" customHeight="1">
      <c r="A564" s="46" t="s">
        <v>34</v>
      </c>
      <c r="B564" s="88"/>
      <c r="C564" s="83">
        <f>78967*0.15</f>
        <v>11845.05</v>
      </c>
      <c r="D564" s="83">
        <v>1031</v>
      </c>
      <c r="E564" s="84"/>
      <c r="F564" s="32">
        <f t="shared" si="141"/>
        <v>1031</v>
      </c>
      <c r="G564" s="83">
        <f>9798+316</f>
        <v>10114</v>
      </c>
      <c r="H564" s="84"/>
      <c r="I564" s="32">
        <f t="shared" si="142"/>
        <v>10114</v>
      </c>
      <c r="J564" s="83">
        <v>700</v>
      </c>
      <c r="K564" s="84"/>
      <c r="L564" s="32">
        <f t="shared" si="143"/>
        <v>700</v>
      </c>
      <c r="M564" s="83">
        <v>0</v>
      </c>
      <c r="N564" s="84"/>
      <c r="O564" s="32">
        <f t="shared" si="144"/>
        <v>0</v>
      </c>
      <c r="P564" s="32">
        <f t="shared" si="145"/>
        <v>11845</v>
      </c>
      <c r="Q564" s="175"/>
      <c r="R564" s="175"/>
      <c r="S564" s="176"/>
      <c r="IP564" s="81"/>
      <c r="IQ564" s="81"/>
      <c r="IR564" s="81"/>
      <c r="IS564" s="81"/>
      <c r="IT564" s="81"/>
    </row>
    <row r="565" spans="1:254" s="80" customFormat="1" ht="16.5" customHeight="1">
      <c r="A565" s="41" t="s">
        <v>35</v>
      </c>
      <c r="B565" s="88"/>
      <c r="C565" s="83">
        <f>78967*0.85</f>
        <v>67121.95</v>
      </c>
      <c r="D565" s="83">
        <v>5842</v>
      </c>
      <c r="E565" s="84"/>
      <c r="F565" s="32">
        <f t="shared" si="141"/>
        <v>5842</v>
      </c>
      <c r="G565" s="83">
        <f>55519+1795</f>
        <v>57314</v>
      </c>
      <c r="H565" s="84"/>
      <c r="I565" s="32">
        <f t="shared" si="142"/>
        <v>57314</v>
      </c>
      <c r="J565" s="83">
        <v>3966</v>
      </c>
      <c r="K565" s="84"/>
      <c r="L565" s="32">
        <f t="shared" si="143"/>
        <v>3966</v>
      </c>
      <c r="M565" s="83">
        <v>0</v>
      </c>
      <c r="N565" s="84"/>
      <c r="O565" s="32">
        <f t="shared" si="144"/>
        <v>0</v>
      </c>
      <c r="P565" s="32">
        <f t="shared" si="145"/>
        <v>67122</v>
      </c>
      <c r="Q565" s="175"/>
      <c r="R565" s="175"/>
      <c r="S565" s="176"/>
      <c r="IP565" s="81"/>
      <c r="IQ565" s="81"/>
      <c r="IR565" s="81"/>
      <c r="IS565" s="81"/>
      <c r="IT565" s="81"/>
    </row>
    <row r="566" spans="1:254" s="80" customFormat="1" ht="15.75" customHeight="1">
      <c r="A566" s="41" t="s">
        <v>36</v>
      </c>
      <c r="B566" s="88"/>
      <c r="C566" s="83">
        <v>13354</v>
      </c>
      <c r="D566" s="83">
        <v>0</v>
      </c>
      <c r="E566" s="84"/>
      <c r="F566" s="32">
        <f t="shared" si="141"/>
        <v>0</v>
      </c>
      <c r="G566" s="83">
        <f>12410+57</f>
        <v>12467</v>
      </c>
      <c r="H566" s="84"/>
      <c r="I566" s="32">
        <f t="shared" si="142"/>
        <v>12467</v>
      </c>
      <c r="J566" s="83">
        <v>887</v>
      </c>
      <c r="K566" s="84"/>
      <c r="L566" s="32">
        <f t="shared" si="143"/>
        <v>887</v>
      </c>
      <c r="M566" s="83">
        <v>0</v>
      </c>
      <c r="N566" s="84"/>
      <c r="O566" s="32">
        <f t="shared" si="144"/>
        <v>0</v>
      </c>
      <c r="P566" s="32">
        <f t="shared" si="145"/>
        <v>13354</v>
      </c>
      <c r="Q566" s="101"/>
      <c r="R566" s="101"/>
      <c r="S566" s="102"/>
      <c r="IP566" s="81"/>
      <c r="IQ566" s="81"/>
      <c r="IR566" s="81"/>
      <c r="IS566" s="81"/>
      <c r="IT566" s="81"/>
    </row>
    <row r="567" spans="1:254" s="80" customFormat="1" ht="16.5" customHeight="1" hidden="1">
      <c r="A567" s="41"/>
      <c r="B567" s="88"/>
      <c r="C567" s="83"/>
      <c r="D567" s="83"/>
      <c r="E567" s="84"/>
      <c r="F567" s="32">
        <f t="shared" si="141"/>
        <v>0</v>
      </c>
      <c r="G567" s="83"/>
      <c r="H567" s="84"/>
      <c r="I567" s="32">
        <f t="shared" si="142"/>
        <v>0</v>
      </c>
      <c r="J567" s="83"/>
      <c r="K567" s="84"/>
      <c r="L567" s="32">
        <f t="shared" si="143"/>
        <v>0</v>
      </c>
      <c r="M567" s="83"/>
      <c r="N567" s="84"/>
      <c r="O567" s="32">
        <f t="shared" si="144"/>
        <v>0</v>
      </c>
      <c r="P567" s="32">
        <f t="shared" si="145"/>
        <v>0</v>
      </c>
      <c r="Q567" s="103"/>
      <c r="R567" s="106"/>
      <c r="S567" s="102"/>
      <c r="IP567" s="81"/>
      <c r="IQ567" s="81"/>
      <c r="IR567" s="81"/>
      <c r="IS567" s="81"/>
      <c r="IT567" s="81"/>
    </row>
    <row r="568" spans="1:254" s="80" customFormat="1" ht="16.5" customHeight="1" hidden="1">
      <c r="A568" s="41"/>
      <c r="B568" s="88"/>
      <c r="C568" s="90">
        <f>C569+C570+C571+C573+C572</f>
        <v>92321</v>
      </c>
      <c r="D568" s="90">
        <f>D569+D570+D571+D573+D572</f>
        <v>23875.46</v>
      </c>
      <c r="E568" s="91"/>
      <c r="F568" s="32">
        <f t="shared" si="141"/>
        <v>23875.46</v>
      </c>
      <c r="G568" s="90">
        <f>G569+G570+G571+G573+G572</f>
        <v>62892.45</v>
      </c>
      <c r="H568" s="91"/>
      <c r="I568" s="32">
        <f t="shared" si="142"/>
        <v>62892.45</v>
      </c>
      <c r="J568" s="90">
        <f>J569+J570+J571+J573+J572</f>
        <v>5553</v>
      </c>
      <c r="K568" s="91"/>
      <c r="L568" s="32">
        <f t="shared" si="143"/>
        <v>5553</v>
      </c>
      <c r="M568" s="90">
        <f>M569+M570+M571+M573+M572</f>
        <v>0</v>
      </c>
      <c r="N568" s="91"/>
      <c r="O568" s="32">
        <f t="shared" si="144"/>
        <v>0</v>
      </c>
      <c r="P568" s="32">
        <f t="shared" si="145"/>
        <v>92320.91</v>
      </c>
      <c r="Q568" s="104"/>
      <c r="R568" s="104"/>
      <c r="S568" s="105"/>
      <c r="IP568" s="81"/>
      <c r="IQ568" s="81"/>
      <c r="IR568" s="81"/>
      <c r="IS568" s="81"/>
      <c r="IT568" s="81"/>
    </row>
    <row r="569" spans="1:254" s="80" customFormat="1" ht="16.5" customHeight="1" hidden="1">
      <c r="A569" s="41" t="s">
        <v>37</v>
      </c>
      <c r="B569" s="88"/>
      <c r="C569" s="95">
        <f>78967*0.13+13354</f>
        <v>23619.71</v>
      </c>
      <c r="D569" s="83">
        <v>0</v>
      </c>
      <c r="E569" s="84"/>
      <c r="F569" s="32">
        <f t="shared" si="141"/>
        <v>0</v>
      </c>
      <c r="G569" s="83">
        <f>(G564+G565+D564+D565)*0.13+D566+G566</f>
        <v>22126.13</v>
      </c>
      <c r="H569" s="84"/>
      <c r="I569" s="32">
        <f t="shared" si="142"/>
        <v>22126.13</v>
      </c>
      <c r="J569" s="83">
        <f>(J564+J565)*0.13+J566</f>
        <v>1493.58</v>
      </c>
      <c r="K569" s="84"/>
      <c r="L569" s="32">
        <f t="shared" si="143"/>
        <v>1493.58</v>
      </c>
      <c r="M569" s="83">
        <f>(M564+M565)*0.13</f>
        <v>0</v>
      </c>
      <c r="N569" s="84"/>
      <c r="O569" s="32">
        <f t="shared" si="144"/>
        <v>0</v>
      </c>
      <c r="P569" s="32">
        <f t="shared" si="145"/>
        <v>23619.71</v>
      </c>
      <c r="Q569" s="89"/>
      <c r="R569" s="89"/>
      <c r="IP569" s="81"/>
      <c r="IQ569" s="81"/>
      <c r="IR569" s="81"/>
      <c r="IS569" s="81"/>
      <c r="IT569" s="81"/>
    </row>
    <row r="570" spans="1:254" s="80" customFormat="1" ht="16.5" customHeight="1" hidden="1">
      <c r="A570" s="41" t="s">
        <v>38</v>
      </c>
      <c r="B570" s="88"/>
      <c r="C570" s="95">
        <f>78967*0.85-C572-C571</f>
        <v>43383.95</v>
      </c>
      <c r="D570" s="83">
        <v>0</v>
      </c>
      <c r="E570" s="84"/>
      <c r="F570" s="32">
        <f t="shared" si="141"/>
        <v>0</v>
      </c>
      <c r="G570" s="83">
        <f>(G564+G565+D564+D565)*0.85-C572-G571</f>
        <v>39417.85</v>
      </c>
      <c r="H570" s="84"/>
      <c r="I570" s="32">
        <f t="shared" si="142"/>
        <v>39417.85</v>
      </c>
      <c r="J570" s="83">
        <f>(J564+J565)*0.85</f>
        <v>3966.1</v>
      </c>
      <c r="K570" s="84"/>
      <c r="L570" s="32">
        <f t="shared" si="143"/>
        <v>3966.1</v>
      </c>
      <c r="M570" s="83">
        <f>(M564+M565)*0.85</f>
        <v>0</v>
      </c>
      <c r="N570" s="84"/>
      <c r="O570" s="32">
        <f t="shared" si="144"/>
        <v>0</v>
      </c>
      <c r="P570" s="32">
        <f t="shared" si="145"/>
        <v>43383.95</v>
      </c>
      <c r="Q570" s="89"/>
      <c r="R570" s="89"/>
      <c r="IP570" s="81"/>
      <c r="IQ570" s="81"/>
      <c r="IR570" s="81"/>
      <c r="IS570" s="81"/>
      <c r="IT570" s="81"/>
    </row>
    <row r="571" spans="1:254" s="80" customFormat="1" ht="16.5" customHeight="1" hidden="1">
      <c r="A571" s="41" t="s">
        <v>39</v>
      </c>
      <c r="B571" s="88"/>
      <c r="C571" s="95">
        <v>0</v>
      </c>
      <c r="D571" s="136">
        <v>0</v>
      </c>
      <c r="E571" s="137"/>
      <c r="F571" s="32">
        <f t="shared" si="141"/>
        <v>0</v>
      </c>
      <c r="G571" s="136">
        <f>C571-D571</f>
        <v>0</v>
      </c>
      <c r="H571" s="137"/>
      <c r="I571" s="32">
        <f t="shared" si="142"/>
        <v>0</v>
      </c>
      <c r="J571" s="136">
        <v>0</v>
      </c>
      <c r="K571" s="137"/>
      <c r="L571" s="32">
        <f t="shared" si="143"/>
        <v>0</v>
      </c>
      <c r="M571" s="136">
        <v>0</v>
      </c>
      <c r="N571" s="137"/>
      <c r="O571" s="32">
        <f t="shared" si="144"/>
        <v>0</v>
      </c>
      <c r="P571" s="32">
        <f t="shared" si="145"/>
        <v>0</v>
      </c>
      <c r="Q571" s="89"/>
      <c r="R571" s="89"/>
      <c r="IP571" s="81"/>
      <c r="IQ571" s="81"/>
      <c r="IR571" s="81"/>
      <c r="IS571" s="81"/>
      <c r="IT571" s="81"/>
    </row>
    <row r="572" spans="1:254" s="80" customFormat="1" ht="16.5" customHeight="1" hidden="1">
      <c r="A572" s="41" t="s">
        <v>49</v>
      </c>
      <c r="B572" s="88"/>
      <c r="C572" s="95">
        <v>23738</v>
      </c>
      <c r="D572" s="95">
        <f>C572</f>
        <v>23738</v>
      </c>
      <c r="E572" s="96"/>
      <c r="F572" s="32">
        <f aca="true" t="shared" si="146" ref="F572:F593">D572+E572</f>
        <v>23738</v>
      </c>
      <c r="G572" s="95">
        <v>0</v>
      </c>
      <c r="H572" s="96"/>
      <c r="I572" s="32">
        <f aca="true" t="shared" si="147" ref="I572:I593">G572+H572</f>
        <v>0</v>
      </c>
      <c r="J572" s="95">
        <v>0</v>
      </c>
      <c r="K572" s="96"/>
      <c r="L572" s="32">
        <f aca="true" t="shared" si="148" ref="L572:L593">J572+K572</f>
        <v>0</v>
      </c>
      <c r="M572" s="95">
        <v>0</v>
      </c>
      <c r="N572" s="96"/>
      <c r="O572" s="32">
        <f aca="true" t="shared" si="149" ref="O572:O593">M572+N572</f>
        <v>0</v>
      </c>
      <c r="P572" s="32">
        <f aca="true" t="shared" si="150" ref="P572:P593">F572+I572+L572+O572</f>
        <v>23738</v>
      </c>
      <c r="Q572" s="89"/>
      <c r="R572" s="89"/>
      <c r="IP572" s="81"/>
      <c r="IQ572" s="81"/>
      <c r="IR572" s="81"/>
      <c r="IS572" s="81"/>
      <c r="IT572" s="81"/>
    </row>
    <row r="573" spans="1:254" s="80" customFormat="1" ht="30" hidden="1">
      <c r="A573" s="52" t="s">
        <v>40</v>
      </c>
      <c r="B573" s="88"/>
      <c r="C573" s="95">
        <f>78967*2/100</f>
        <v>1579.34</v>
      </c>
      <c r="D573" s="83">
        <f>(D564+D565)*2/100</f>
        <v>137.46</v>
      </c>
      <c r="E573" s="84"/>
      <c r="F573" s="32">
        <f t="shared" si="146"/>
        <v>137.46</v>
      </c>
      <c r="G573" s="83">
        <f>(G564+G565)*2/100-0.09</f>
        <v>1348.47</v>
      </c>
      <c r="H573" s="84"/>
      <c r="I573" s="32">
        <f t="shared" si="147"/>
        <v>1348.47</v>
      </c>
      <c r="J573" s="83">
        <f>(J564+J565)*2/100</f>
        <v>93.32</v>
      </c>
      <c r="K573" s="84"/>
      <c r="L573" s="32">
        <f t="shared" si="148"/>
        <v>93.32</v>
      </c>
      <c r="M573" s="83">
        <f>(M564+M565)*2/100</f>
        <v>0</v>
      </c>
      <c r="N573" s="84"/>
      <c r="O573" s="32">
        <f t="shared" si="149"/>
        <v>0</v>
      </c>
      <c r="P573" s="32">
        <f t="shared" si="150"/>
        <v>1579.25</v>
      </c>
      <c r="Q573" s="138"/>
      <c r="R573" s="98"/>
      <c r="S573" s="99"/>
      <c r="IP573" s="81"/>
      <c r="IQ573" s="81"/>
      <c r="IR573" s="81"/>
      <c r="IS573" s="81"/>
      <c r="IT573" s="81"/>
    </row>
    <row r="574" spans="1:254" s="80" customFormat="1" ht="105">
      <c r="A574" s="121" t="s">
        <v>137</v>
      </c>
      <c r="B574" s="115" t="s">
        <v>138</v>
      </c>
      <c r="C574" s="44">
        <f>C575+C576+C577</f>
        <v>844</v>
      </c>
      <c r="D574" s="44">
        <f>D575+D576+D577</f>
        <v>0</v>
      </c>
      <c r="E574" s="45"/>
      <c r="F574" s="32">
        <f t="shared" si="146"/>
        <v>0</v>
      </c>
      <c r="G574" s="44">
        <f>G575+G576+G577</f>
        <v>667</v>
      </c>
      <c r="H574" s="45"/>
      <c r="I574" s="32">
        <f t="shared" si="147"/>
        <v>667</v>
      </c>
      <c r="J574" s="44">
        <f>J575+J576+J577</f>
        <v>177</v>
      </c>
      <c r="K574" s="45"/>
      <c r="L574" s="32">
        <f t="shared" si="148"/>
        <v>177</v>
      </c>
      <c r="M574" s="44">
        <f>M575+M576+M577</f>
        <v>0</v>
      </c>
      <c r="N574" s="45"/>
      <c r="O574" s="32">
        <f t="shared" si="149"/>
        <v>0</v>
      </c>
      <c r="P574" s="32">
        <f t="shared" si="150"/>
        <v>844</v>
      </c>
      <c r="Q574" s="98"/>
      <c r="R574" s="98"/>
      <c r="S574" s="99"/>
      <c r="IP574" s="81"/>
      <c r="IQ574" s="81"/>
      <c r="IR574" s="81"/>
      <c r="IS574" s="81"/>
      <c r="IT574" s="81"/>
    </row>
    <row r="575" spans="1:254" s="80" customFormat="1" ht="16.5" customHeight="1">
      <c r="A575" s="46" t="s">
        <v>34</v>
      </c>
      <c r="B575" s="88"/>
      <c r="C575" s="83">
        <f>844*0.15</f>
        <v>126.6</v>
      </c>
      <c r="D575" s="83">
        <v>0</v>
      </c>
      <c r="E575" s="84"/>
      <c r="F575" s="32">
        <f t="shared" si="146"/>
        <v>0</v>
      </c>
      <c r="G575" s="83">
        <v>100</v>
      </c>
      <c r="H575" s="84"/>
      <c r="I575" s="32">
        <f t="shared" si="147"/>
        <v>100</v>
      </c>
      <c r="J575" s="83">
        <v>27</v>
      </c>
      <c r="K575" s="84"/>
      <c r="L575" s="32">
        <f t="shared" si="148"/>
        <v>27</v>
      </c>
      <c r="M575" s="83">
        <v>0</v>
      </c>
      <c r="N575" s="84"/>
      <c r="O575" s="32">
        <f t="shared" si="149"/>
        <v>0</v>
      </c>
      <c r="P575" s="32">
        <f t="shared" si="150"/>
        <v>127</v>
      </c>
      <c r="Q575" s="175"/>
      <c r="R575" s="176"/>
      <c r="S575" s="176"/>
      <c r="IP575" s="81"/>
      <c r="IQ575" s="81"/>
      <c r="IR575" s="81"/>
      <c r="IS575" s="81"/>
      <c r="IT575" s="81"/>
    </row>
    <row r="576" spans="1:254" s="80" customFormat="1" ht="16.5" customHeight="1">
      <c r="A576" s="41" t="s">
        <v>35</v>
      </c>
      <c r="B576" s="88"/>
      <c r="C576" s="83">
        <f>844*0.85</f>
        <v>717.4</v>
      </c>
      <c r="D576" s="83">
        <v>0</v>
      </c>
      <c r="E576" s="84"/>
      <c r="F576" s="32">
        <f t="shared" si="146"/>
        <v>0</v>
      </c>
      <c r="G576" s="83">
        <v>567</v>
      </c>
      <c r="H576" s="84"/>
      <c r="I576" s="32">
        <f t="shared" si="147"/>
        <v>567</v>
      </c>
      <c r="J576" s="83">
        <v>150</v>
      </c>
      <c r="K576" s="84"/>
      <c r="L576" s="32">
        <f t="shared" si="148"/>
        <v>150</v>
      </c>
      <c r="M576" s="83">
        <v>0</v>
      </c>
      <c r="N576" s="84"/>
      <c r="O576" s="32">
        <f t="shared" si="149"/>
        <v>0</v>
      </c>
      <c r="P576" s="32">
        <f t="shared" si="150"/>
        <v>717</v>
      </c>
      <c r="Q576" s="175"/>
      <c r="R576" s="175"/>
      <c r="S576" s="176"/>
      <c r="IP576" s="81"/>
      <c r="IQ576" s="81"/>
      <c r="IR576" s="81"/>
      <c r="IS576" s="81"/>
      <c r="IT576" s="81"/>
    </row>
    <row r="577" spans="1:254" s="80" customFormat="1" ht="16.5" customHeight="1">
      <c r="A577" s="41" t="s">
        <v>36</v>
      </c>
      <c r="B577" s="88"/>
      <c r="C577" s="83">
        <v>0</v>
      </c>
      <c r="D577" s="83">
        <v>0</v>
      </c>
      <c r="E577" s="84"/>
      <c r="F577" s="32">
        <f t="shared" si="146"/>
        <v>0</v>
      </c>
      <c r="G577" s="83">
        <v>0</v>
      </c>
      <c r="H577" s="84"/>
      <c r="I577" s="32">
        <f t="shared" si="147"/>
        <v>0</v>
      </c>
      <c r="J577" s="83">
        <v>0</v>
      </c>
      <c r="K577" s="84"/>
      <c r="L577" s="32">
        <f t="shared" si="148"/>
        <v>0</v>
      </c>
      <c r="M577" s="83">
        <v>0</v>
      </c>
      <c r="N577" s="84"/>
      <c r="O577" s="32">
        <f t="shared" si="149"/>
        <v>0</v>
      </c>
      <c r="P577" s="32">
        <f t="shared" si="150"/>
        <v>0</v>
      </c>
      <c r="Q577" s="101"/>
      <c r="R577" s="101"/>
      <c r="S577" s="102"/>
      <c r="IP577" s="81"/>
      <c r="IQ577" s="81"/>
      <c r="IR577" s="81"/>
      <c r="IS577" s="81"/>
      <c r="IT577" s="81"/>
    </row>
    <row r="578" spans="1:254" s="80" customFormat="1" ht="16.5" customHeight="1" hidden="1">
      <c r="A578" s="41"/>
      <c r="B578" s="88"/>
      <c r="C578" s="83"/>
      <c r="D578" s="83"/>
      <c r="E578" s="84"/>
      <c r="F578" s="32">
        <f t="shared" si="146"/>
        <v>0</v>
      </c>
      <c r="G578" s="83"/>
      <c r="H578" s="84"/>
      <c r="I578" s="32">
        <f t="shared" si="147"/>
        <v>0</v>
      </c>
      <c r="J578" s="83"/>
      <c r="K578" s="84"/>
      <c r="L578" s="32">
        <f t="shared" si="148"/>
        <v>0</v>
      </c>
      <c r="M578" s="83"/>
      <c r="N578" s="84"/>
      <c r="O578" s="32">
        <f t="shared" si="149"/>
        <v>0</v>
      </c>
      <c r="P578" s="32">
        <f t="shared" si="150"/>
        <v>0</v>
      </c>
      <c r="Q578" s="103"/>
      <c r="R578" s="106"/>
      <c r="S578" s="102"/>
      <c r="IP578" s="81"/>
      <c r="IQ578" s="81"/>
      <c r="IR578" s="81"/>
      <c r="IS578" s="81"/>
      <c r="IT578" s="81"/>
    </row>
    <row r="579" spans="1:254" s="80" customFormat="1" ht="16.5" customHeight="1" hidden="1">
      <c r="A579" s="41"/>
      <c r="B579" s="88"/>
      <c r="C579" s="90">
        <f>C580+C581+C582+C584+C583</f>
        <v>844</v>
      </c>
      <c r="D579" s="90">
        <f>D580+D581+D582+D584+D583</f>
        <v>0</v>
      </c>
      <c r="E579" s="91"/>
      <c r="F579" s="32">
        <f t="shared" si="146"/>
        <v>0</v>
      </c>
      <c r="G579" s="90">
        <f>G580+G581+G582+G584+G583</f>
        <v>667</v>
      </c>
      <c r="H579" s="91"/>
      <c r="I579" s="32">
        <f t="shared" si="147"/>
        <v>667</v>
      </c>
      <c r="J579" s="90">
        <f>J580+J581+J582+J584+J583</f>
        <v>176.99999999999997</v>
      </c>
      <c r="K579" s="91"/>
      <c r="L579" s="32">
        <f t="shared" si="148"/>
        <v>176.99999999999997</v>
      </c>
      <c r="M579" s="90">
        <f>M580+M581+M582+M584+M583</f>
        <v>0</v>
      </c>
      <c r="N579" s="91"/>
      <c r="O579" s="32">
        <f t="shared" si="149"/>
        <v>0</v>
      </c>
      <c r="P579" s="32">
        <f t="shared" si="150"/>
        <v>844</v>
      </c>
      <c r="Q579" s="104"/>
      <c r="R579" s="104"/>
      <c r="S579" s="105"/>
      <c r="IP579" s="81"/>
      <c r="IQ579" s="81"/>
      <c r="IR579" s="81"/>
      <c r="IS579" s="81"/>
      <c r="IT579" s="81"/>
    </row>
    <row r="580" spans="1:254" s="80" customFormat="1" ht="16.5" customHeight="1" hidden="1">
      <c r="A580" s="41" t="s">
        <v>37</v>
      </c>
      <c r="B580" s="88"/>
      <c r="C580" s="95">
        <f>844*0.13</f>
        <v>109.72</v>
      </c>
      <c r="D580" s="95">
        <v>0</v>
      </c>
      <c r="E580" s="96"/>
      <c r="F580" s="32">
        <f t="shared" si="146"/>
        <v>0</v>
      </c>
      <c r="G580" s="95">
        <f>G574*0.13</f>
        <v>86.71000000000001</v>
      </c>
      <c r="H580" s="96"/>
      <c r="I580" s="32">
        <f t="shared" si="147"/>
        <v>86.71000000000001</v>
      </c>
      <c r="J580" s="95">
        <f>J574*0.13</f>
        <v>23.01</v>
      </c>
      <c r="K580" s="96"/>
      <c r="L580" s="32">
        <f t="shared" si="148"/>
        <v>23.01</v>
      </c>
      <c r="M580" s="95">
        <v>0</v>
      </c>
      <c r="N580" s="96"/>
      <c r="O580" s="32">
        <f t="shared" si="149"/>
        <v>0</v>
      </c>
      <c r="P580" s="32">
        <f t="shared" si="150"/>
        <v>109.72000000000001</v>
      </c>
      <c r="Q580" s="89"/>
      <c r="R580" s="89"/>
      <c r="IP580" s="81"/>
      <c r="IQ580" s="81"/>
      <c r="IR580" s="81"/>
      <c r="IS580" s="81"/>
      <c r="IT580" s="81"/>
    </row>
    <row r="581" spans="1:254" s="80" customFormat="1" ht="16.5" customHeight="1" hidden="1">
      <c r="A581" s="41" t="s">
        <v>38</v>
      </c>
      <c r="B581" s="88"/>
      <c r="C581" s="95">
        <f>844*0.85-C583-C582</f>
        <v>717.4</v>
      </c>
      <c r="D581" s="95">
        <v>0</v>
      </c>
      <c r="E581" s="96"/>
      <c r="F581" s="32">
        <f t="shared" si="146"/>
        <v>0</v>
      </c>
      <c r="G581" s="95">
        <f>G574*0.85</f>
        <v>566.9499999999999</v>
      </c>
      <c r="H581" s="96"/>
      <c r="I581" s="32">
        <f t="shared" si="147"/>
        <v>566.9499999999999</v>
      </c>
      <c r="J581" s="95">
        <f>J574*0.85</f>
        <v>150.45</v>
      </c>
      <c r="K581" s="96"/>
      <c r="L581" s="32">
        <f t="shared" si="148"/>
        <v>150.45</v>
      </c>
      <c r="M581" s="95">
        <v>0</v>
      </c>
      <c r="N581" s="96"/>
      <c r="O581" s="32">
        <f t="shared" si="149"/>
        <v>0</v>
      </c>
      <c r="P581" s="32">
        <f t="shared" si="150"/>
        <v>717.3999999999999</v>
      </c>
      <c r="Q581" s="89"/>
      <c r="R581" s="89"/>
      <c r="IP581" s="81"/>
      <c r="IQ581" s="81"/>
      <c r="IR581" s="81"/>
      <c r="IS581" s="81"/>
      <c r="IT581" s="81"/>
    </row>
    <row r="582" spans="1:254" s="80" customFormat="1" ht="16.5" customHeight="1" hidden="1">
      <c r="A582" s="41" t="s">
        <v>39</v>
      </c>
      <c r="B582" s="88"/>
      <c r="C582" s="95">
        <v>0</v>
      </c>
      <c r="D582" s="95">
        <v>0</v>
      </c>
      <c r="E582" s="96"/>
      <c r="F582" s="32">
        <f t="shared" si="146"/>
        <v>0</v>
      </c>
      <c r="G582" s="95">
        <v>0</v>
      </c>
      <c r="H582" s="96"/>
      <c r="I582" s="32">
        <f t="shared" si="147"/>
        <v>0</v>
      </c>
      <c r="J582" s="95">
        <v>0</v>
      </c>
      <c r="K582" s="96"/>
      <c r="L582" s="32">
        <f t="shared" si="148"/>
        <v>0</v>
      </c>
      <c r="M582" s="95">
        <v>0</v>
      </c>
      <c r="N582" s="96"/>
      <c r="O582" s="32">
        <f t="shared" si="149"/>
        <v>0</v>
      </c>
      <c r="P582" s="32">
        <f t="shared" si="150"/>
        <v>0</v>
      </c>
      <c r="Q582" s="89"/>
      <c r="R582" s="89"/>
      <c r="IP582" s="81"/>
      <c r="IQ582" s="81"/>
      <c r="IR582" s="81"/>
      <c r="IS582" s="81"/>
      <c r="IT582" s="81"/>
    </row>
    <row r="583" spans="1:254" s="80" customFormat="1" ht="16.5" customHeight="1" hidden="1">
      <c r="A583" s="41" t="s">
        <v>49</v>
      </c>
      <c r="B583" s="88"/>
      <c r="C583" s="95">
        <v>0</v>
      </c>
      <c r="D583" s="95">
        <v>0</v>
      </c>
      <c r="E583" s="96"/>
      <c r="F583" s="32">
        <f t="shared" si="146"/>
        <v>0</v>
      </c>
      <c r="G583" s="95">
        <v>0</v>
      </c>
      <c r="H583" s="96"/>
      <c r="I583" s="32">
        <f t="shared" si="147"/>
        <v>0</v>
      </c>
      <c r="J583" s="95">
        <v>0</v>
      </c>
      <c r="K583" s="96"/>
      <c r="L583" s="32">
        <f t="shared" si="148"/>
        <v>0</v>
      </c>
      <c r="M583" s="95">
        <v>0</v>
      </c>
      <c r="N583" s="96"/>
      <c r="O583" s="32">
        <f t="shared" si="149"/>
        <v>0</v>
      </c>
      <c r="P583" s="32">
        <f t="shared" si="150"/>
        <v>0</v>
      </c>
      <c r="Q583" s="89"/>
      <c r="R583" s="89"/>
      <c r="IP583" s="81"/>
      <c r="IQ583" s="81"/>
      <c r="IR583" s="81"/>
      <c r="IS583" s="81"/>
      <c r="IT583" s="81"/>
    </row>
    <row r="584" spans="1:254" s="80" customFormat="1" ht="30" hidden="1">
      <c r="A584" s="52" t="s">
        <v>40</v>
      </c>
      <c r="B584" s="88"/>
      <c r="C584" s="95">
        <f>844*2/100+C577</f>
        <v>16.88</v>
      </c>
      <c r="D584" s="95">
        <v>0</v>
      </c>
      <c r="E584" s="96"/>
      <c r="F584" s="32">
        <f t="shared" si="146"/>
        <v>0</v>
      </c>
      <c r="G584" s="95">
        <f>G574*2/100</f>
        <v>13.34</v>
      </c>
      <c r="H584" s="96"/>
      <c r="I584" s="32">
        <f t="shared" si="147"/>
        <v>13.34</v>
      </c>
      <c r="J584" s="95">
        <f>J574*2/100</f>
        <v>3.54</v>
      </c>
      <c r="K584" s="96"/>
      <c r="L584" s="32">
        <f t="shared" si="148"/>
        <v>3.54</v>
      </c>
      <c r="M584" s="95">
        <v>0</v>
      </c>
      <c r="N584" s="96"/>
      <c r="O584" s="32">
        <f t="shared" si="149"/>
        <v>0</v>
      </c>
      <c r="P584" s="32">
        <f t="shared" si="150"/>
        <v>16.88</v>
      </c>
      <c r="Q584" s="98"/>
      <c r="R584" s="98"/>
      <c r="S584" s="99"/>
      <c r="IP584" s="81"/>
      <c r="IQ584" s="81"/>
      <c r="IR584" s="81"/>
      <c r="IS584" s="81"/>
      <c r="IT584" s="81"/>
    </row>
    <row r="585" spans="1:254" s="99" customFormat="1" ht="31.5" customHeight="1">
      <c r="A585" s="78" t="s">
        <v>130</v>
      </c>
      <c r="B585" s="78" t="s">
        <v>139</v>
      </c>
      <c r="C585" s="116">
        <f>C586+C587+C588</f>
        <v>56</v>
      </c>
      <c r="D585" s="116">
        <f>D586+D587+D588</f>
        <v>0</v>
      </c>
      <c r="E585" s="117"/>
      <c r="F585" s="32">
        <f t="shared" si="146"/>
        <v>0</v>
      </c>
      <c r="G585" s="116">
        <f>G586+G587+G588</f>
        <v>12</v>
      </c>
      <c r="H585" s="117"/>
      <c r="I585" s="32">
        <f t="shared" si="147"/>
        <v>12</v>
      </c>
      <c r="J585" s="116">
        <f>J586+J587+J588</f>
        <v>44</v>
      </c>
      <c r="K585" s="117"/>
      <c r="L585" s="32">
        <f t="shared" si="148"/>
        <v>44</v>
      </c>
      <c r="M585" s="116">
        <f>M586+M587+M588</f>
        <v>0</v>
      </c>
      <c r="N585" s="117"/>
      <c r="O585" s="32">
        <f t="shared" si="149"/>
        <v>0</v>
      </c>
      <c r="P585" s="32">
        <f t="shared" si="150"/>
        <v>56</v>
      </c>
      <c r="Q585" s="98"/>
      <c r="R585" s="98"/>
      <c r="IP585" s="100"/>
      <c r="IQ585" s="100"/>
      <c r="IR585" s="100"/>
      <c r="IS585" s="100"/>
      <c r="IT585" s="100"/>
    </row>
    <row r="586" spans="1:254" s="99" customFormat="1" ht="16.5" customHeight="1">
      <c r="A586" s="34" t="s">
        <v>21</v>
      </c>
      <c r="B586" s="35" t="s">
        <v>22</v>
      </c>
      <c r="C586" s="139">
        <v>47</v>
      </c>
      <c r="D586" s="123"/>
      <c r="E586" s="124"/>
      <c r="F586" s="32">
        <f t="shared" si="146"/>
        <v>0</v>
      </c>
      <c r="G586" s="123">
        <v>10</v>
      </c>
      <c r="H586" s="124"/>
      <c r="I586" s="32">
        <f t="shared" si="147"/>
        <v>10</v>
      </c>
      <c r="J586" s="123">
        <v>37</v>
      </c>
      <c r="K586" s="124"/>
      <c r="L586" s="32">
        <f t="shared" si="148"/>
        <v>37</v>
      </c>
      <c r="M586" s="123"/>
      <c r="N586" s="124"/>
      <c r="O586" s="32">
        <f t="shared" si="149"/>
        <v>0</v>
      </c>
      <c r="P586" s="32">
        <f t="shared" si="150"/>
        <v>47</v>
      </c>
      <c r="Q586" s="98"/>
      <c r="R586" s="98"/>
      <c r="IP586" s="100"/>
      <c r="IQ586" s="100"/>
      <c r="IR586" s="100"/>
      <c r="IS586" s="100"/>
      <c r="IT586" s="100"/>
    </row>
    <row r="587" spans="1:254" s="99" customFormat="1" ht="16.5" customHeight="1">
      <c r="A587" s="34" t="s">
        <v>23</v>
      </c>
      <c r="B587" s="35" t="s">
        <v>24</v>
      </c>
      <c r="C587" s="139">
        <v>0</v>
      </c>
      <c r="D587" s="123"/>
      <c r="E587" s="124"/>
      <c r="F587" s="32">
        <f t="shared" si="146"/>
        <v>0</v>
      </c>
      <c r="G587" s="123"/>
      <c r="H587" s="124"/>
      <c r="I587" s="32">
        <f t="shared" si="147"/>
        <v>0</v>
      </c>
      <c r="J587" s="123"/>
      <c r="K587" s="124"/>
      <c r="L587" s="32">
        <f t="shared" si="148"/>
        <v>0</v>
      </c>
      <c r="M587" s="123"/>
      <c r="N587" s="124"/>
      <c r="O587" s="32">
        <f t="shared" si="149"/>
        <v>0</v>
      </c>
      <c r="P587" s="32">
        <f t="shared" si="150"/>
        <v>0</v>
      </c>
      <c r="Q587" s="98"/>
      <c r="R587" s="98"/>
      <c r="IP587" s="100"/>
      <c r="IQ587" s="100"/>
      <c r="IR587" s="100"/>
      <c r="IS587" s="100"/>
      <c r="IT587" s="100"/>
    </row>
    <row r="588" spans="1:254" s="99" customFormat="1" ht="16.5" customHeight="1">
      <c r="A588" s="40" t="s">
        <v>25</v>
      </c>
      <c r="B588" s="35" t="s">
        <v>26</v>
      </c>
      <c r="C588" s="139">
        <v>9</v>
      </c>
      <c r="D588" s="123"/>
      <c r="E588" s="124"/>
      <c r="F588" s="32">
        <f t="shared" si="146"/>
        <v>0</v>
      </c>
      <c r="G588" s="123">
        <v>2</v>
      </c>
      <c r="H588" s="124"/>
      <c r="I588" s="32">
        <f t="shared" si="147"/>
        <v>2</v>
      </c>
      <c r="J588" s="123">
        <v>7</v>
      </c>
      <c r="K588" s="124"/>
      <c r="L588" s="32">
        <f t="shared" si="148"/>
        <v>7</v>
      </c>
      <c r="M588" s="123"/>
      <c r="N588" s="124"/>
      <c r="O588" s="32">
        <f t="shared" si="149"/>
        <v>0</v>
      </c>
      <c r="P588" s="32">
        <f t="shared" si="150"/>
        <v>9</v>
      </c>
      <c r="Q588" s="98"/>
      <c r="R588" s="98"/>
      <c r="IP588" s="100"/>
      <c r="IQ588" s="100"/>
      <c r="IR588" s="100"/>
      <c r="IS588" s="100"/>
      <c r="IT588" s="100"/>
    </row>
    <row r="589" spans="1:254" s="99" customFormat="1" ht="16.5" customHeight="1" hidden="1">
      <c r="A589" s="40"/>
      <c r="B589" s="130"/>
      <c r="C589" s="123"/>
      <c r="D589" s="123"/>
      <c r="E589" s="124"/>
      <c r="F589" s="32">
        <f t="shared" si="146"/>
        <v>0</v>
      </c>
      <c r="G589" s="123"/>
      <c r="H589" s="124"/>
      <c r="I589" s="32">
        <f t="shared" si="147"/>
        <v>0</v>
      </c>
      <c r="J589" s="123"/>
      <c r="K589" s="124"/>
      <c r="L589" s="32">
        <f t="shared" si="148"/>
        <v>0</v>
      </c>
      <c r="M589" s="123"/>
      <c r="N589" s="124"/>
      <c r="O589" s="32">
        <f t="shared" si="149"/>
        <v>0</v>
      </c>
      <c r="P589" s="32">
        <f t="shared" si="150"/>
        <v>0</v>
      </c>
      <c r="Q589" s="43"/>
      <c r="R589" s="98"/>
      <c r="IP589" s="100"/>
      <c r="IQ589" s="100"/>
      <c r="IR589" s="100"/>
      <c r="IS589" s="100"/>
      <c r="IT589" s="100"/>
    </row>
    <row r="590" spans="1:254" s="99" customFormat="1" ht="16.5" customHeight="1" hidden="1">
      <c r="A590" s="131"/>
      <c r="B590" s="115"/>
      <c r="C590" s="72">
        <f>C591+C592+C593</f>
        <v>56</v>
      </c>
      <c r="D590" s="72">
        <f>D591+D592+D593</f>
        <v>0</v>
      </c>
      <c r="E590" s="73"/>
      <c r="F590" s="32">
        <f t="shared" si="146"/>
        <v>0</v>
      </c>
      <c r="G590" s="72">
        <f>G591+G592+G593</f>
        <v>12</v>
      </c>
      <c r="H590" s="73"/>
      <c r="I590" s="32">
        <f t="shared" si="147"/>
        <v>12</v>
      </c>
      <c r="J590" s="72">
        <f>J591+J592+J593</f>
        <v>44</v>
      </c>
      <c r="K590" s="73"/>
      <c r="L590" s="32">
        <f t="shared" si="148"/>
        <v>44</v>
      </c>
      <c r="M590" s="72">
        <f>M591+M592+M593</f>
        <v>0</v>
      </c>
      <c r="N590" s="73"/>
      <c r="O590" s="32">
        <f t="shared" si="149"/>
        <v>0</v>
      </c>
      <c r="P590" s="32">
        <f t="shared" si="150"/>
        <v>56</v>
      </c>
      <c r="Q590" s="43"/>
      <c r="R590" s="98"/>
      <c r="IP590" s="100"/>
      <c r="IQ590" s="100"/>
      <c r="IR590" s="100"/>
      <c r="IS590" s="100"/>
      <c r="IT590" s="100"/>
    </row>
    <row r="591" spans="1:254" s="99" customFormat="1" ht="16.5" customHeight="1" hidden="1">
      <c r="A591" s="40" t="s">
        <v>27</v>
      </c>
      <c r="B591" s="43" t="s">
        <v>22</v>
      </c>
      <c r="C591" s="123">
        <f>C586</f>
        <v>47</v>
      </c>
      <c r="D591" s="123"/>
      <c r="E591" s="124"/>
      <c r="F591" s="32">
        <f t="shared" si="146"/>
        <v>0</v>
      </c>
      <c r="G591" s="123">
        <f>G586</f>
        <v>10</v>
      </c>
      <c r="H591" s="124"/>
      <c r="I591" s="32">
        <f t="shared" si="147"/>
        <v>10</v>
      </c>
      <c r="J591" s="123">
        <f>J586</f>
        <v>37</v>
      </c>
      <c r="K591" s="124"/>
      <c r="L591" s="32">
        <f t="shared" si="148"/>
        <v>37</v>
      </c>
      <c r="M591" s="123"/>
      <c r="N591" s="124"/>
      <c r="O591" s="32">
        <f t="shared" si="149"/>
        <v>0</v>
      </c>
      <c r="P591" s="32">
        <f t="shared" si="150"/>
        <v>47</v>
      </c>
      <c r="Q591" s="43"/>
      <c r="R591" s="98"/>
      <c r="IP591" s="100"/>
      <c r="IQ591" s="100"/>
      <c r="IR591" s="100"/>
      <c r="IS591" s="100"/>
      <c r="IT591" s="100"/>
    </row>
    <row r="592" spans="1:254" s="99" customFormat="1" ht="16.5" customHeight="1" hidden="1">
      <c r="A592" s="40" t="s">
        <v>28</v>
      </c>
      <c r="B592" s="43" t="s">
        <v>29</v>
      </c>
      <c r="C592" s="123">
        <f>C587</f>
        <v>0</v>
      </c>
      <c r="D592" s="123"/>
      <c r="E592" s="124"/>
      <c r="F592" s="32">
        <f t="shared" si="146"/>
        <v>0</v>
      </c>
      <c r="G592" s="123"/>
      <c r="H592" s="124"/>
      <c r="I592" s="32">
        <f t="shared" si="147"/>
        <v>0</v>
      </c>
      <c r="J592" s="123"/>
      <c r="K592" s="124"/>
      <c r="L592" s="32">
        <f t="shared" si="148"/>
        <v>0</v>
      </c>
      <c r="M592" s="123"/>
      <c r="N592" s="124"/>
      <c r="O592" s="32">
        <f t="shared" si="149"/>
        <v>0</v>
      </c>
      <c r="P592" s="32">
        <f t="shared" si="150"/>
        <v>0</v>
      </c>
      <c r="Q592" s="98"/>
      <c r="R592" s="98"/>
      <c r="IP592" s="100"/>
      <c r="IQ592" s="100"/>
      <c r="IR592" s="100"/>
      <c r="IS592" s="100"/>
      <c r="IT592" s="100"/>
    </row>
    <row r="593" spans="1:254" s="99" customFormat="1" ht="16.5" customHeight="1" hidden="1">
      <c r="A593" s="40" t="s">
        <v>30</v>
      </c>
      <c r="B593" s="43" t="s">
        <v>26</v>
      </c>
      <c r="C593" s="123">
        <f>C588</f>
        <v>9</v>
      </c>
      <c r="D593" s="123"/>
      <c r="E593" s="124"/>
      <c r="F593" s="32">
        <f t="shared" si="146"/>
        <v>0</v>
      </c>
      <c r="G593" s="123">
        <f>G588</f>
        <v>2</v>
      </c>
      <c r="H593" s="124"/>
      <c r="I593" s="32">
        <f t="shared" si="147"/>
        <v>2</v>
      </c>
      <c r="J593" s="123">
        <f>J588</f>
        <v>7</v>
      </c>
      <c r="K593" s="124"/>
      <c r="L593" s="32">
        <f t="shared" si="148"/>
        <v>7</v>
      </c>
      <c r="M593" s="123"/>
      <c r="N593" s="124"/>
      <c r="O593" s="32">
        <f t="shared" si="149"/>
        <v>0</v>
      </c>
      <c r="P593" s="32">
        <f t="shared" si="150"/>
        <v>9</v>
      </c>
      <c r="Q593" s="98"/>
      <c r="R593" s="98"/>
      <c r="IP593" s="100"/>
      <c r="IQ593" s="100"/>
      <c r="IR593" s="100"/>
      <c r="IS593" s="100"/>
      <c r="IT593" s="100"/>
    </row>
    <row r="594" spans="1:254" s="93" customFormat="1" ht="16.5" customHeight="1">
      <c r="A594" s="184" t="s">
        <v>140</v>
      </c>
      <c r="B594" s="184"/>
      <c r="C594" s="140">
        <f aca="true" t="shared" si="151" ref="C594:P594">C508+C519+C530+C541+C552+C563+C574+C585</f>
        <v>343432</v>
      </c>
      <c r="D594" s="140">
        <f t="shared" si="151"/>
        <v>107076</v>
      </c>
      <c r="E594" s="141">
        <f t="shared" si="151"/>
        <v>0</v>
      </c>
      <c r="F594" s="140">
        <f t="shared" si="151"/>
        <v>107076</v>
      </c>
      <c r="G594" s="140">
        <f t="shared" si="151"/>
        <v>200957</v>
      </c>
      <c r="H594" s="141">
        <f t="shared" si="151"/>
        <v>0</v>
      </c>
      <c r="I594" s="140">
        <f t="shared" si="151"/>
        <v>200957</v>
      </c>
      <c r="J594" s="140">
        <f t="shared" si="151"/>
        <v>34992</v>
      </c>
      <c r="K594" s="141">
        <f t="shared" si="151"/>
        <v>0</v>
      </c>
      <c r="L594" s="140">
        <f t="shared" si="151"/>
        <v>34992</v>
      </c>
      <c r="M594" s="140">
        <f t="shared" si="151"/>
        <v>407</v>
      </c>
      <c r="N594" s="141">
        <f t="shared" si="151"/>
        <v>0</v>
      </c>
      <c r="O594" s="140">
        <f t="shared" si="151"/>
        <v>407</v>
      </c>
      <c r="P594" s="140">
        <f t="shared" si="151"/>
        <v>343432</v>
      </c>
      <c r="Q594" s="92"/>
      <c r="R594" s="92"/>
      <c r="IP594" s="94"/>
      <c r="IQ594" s="94"/>
      <c r="IR594" s="94"/>
      <c r="IS594" s="94"/>
      <c r="IT594" s="94"/>
    </row>
    <row r="595" spans="1:251" ht="14.25" customHeight="1">
      <c r="A595" s="142"/>
      <c r="B595" s="17" t="s">
        <v>141</v>
      </c>
      <c r="C595" s="74">
        <f aca="true" t="shared" si="152" ref="C595:P595">C284+C345+C369+C482+C506+C594+C494</f>
        <v>538009</v>
      </c>
      <c r="D595" s="74">
        <f t="shared" si="152"/>
        <v>144895</v>
      </c>
      <c r="E595" s="74">
        <f t="shared" si="152"/>
        <v>0</v>
      </c>
      <c r="F595" s="74">
        <f t="shared" si="152"/>
        <v>144895</v>
      </c>
      <c r="G595" s="74">
        <f t="shared" si="152"/>
        <v>283990</v>
      </c>
      <c r="H595" s="74">
        <f t="shared" si="152"/>
        <v>50</v>
      </c>
      <c r="I595" s="74">
        <f t="shared" si="152"/>
        <v>283855</v>
      </c>
      <c r="J595" s="74">
        <f t="shared" si="152"/>
        <v>82654</v>
      </c>
      <c r="K595" s="74">
        <f t="shared" si="152"/>
        <v>146</v>
      </c>
      <c r="L595" s="74">
        <f t="shared" si="152"/>
        <v>82666</v>
      </c>
      <c r="M595" s="74">
        <f t="shared" si="152"/>
        <v>26470</v>
      </c>
      <c r="N595" s="74">
        <f t="shared" si="152"/>
        <v>0</v>
      </c>
      <c r="O595" s="74">
        <f t="shared" si="152"/>
        <v>26470</v>
      </c>
      <c r="P595" s="74">
        <f t="shared" si="152"/>
        <v>538205</v>
      </c>
      <c r="IP595" s="1"/>
      <c r="IQ595" s="1"/>
    </row>
    <row r="596" spans="1:254" s="79" customFormat="1" ht="60" customHeight="1">
      <c r="A596" s="143"/>
      <c r="B596" s="144" t="s">
        <v>142</v>
      </c>
      <c r="C596" s="145">
        <f aca="true" t="shared" si="153" ref="C596:O596">C33+C43+C53+C63+C73+C83+C93+C103+C114+C135+C145+C292+C302+C310+C326+C365+C377+C447+C458+C468+C478+C514+C525+C547+C558+C569+C580</f>
        <v>87179.78</v>
      </c>
      <c r="D596" s="145">
        <f t="shared" si="153"/>
        <v>3496.88</v>
      </c>
      <c r="E596" s="146">
        <f t="shared" si="153"/>
        <v>0</v>
      </c>
      <c r="F596" s="145">
        <f t="shared" si="153"/>
        <v>3496.88</v>
      </c>
      <c r="G596" s="145">
        <f t="shared" si="153"/>
        <v>74741.08</v>
      </c>
      <c r="H596" s="146">
        <f t="shared" si="153"/>
        <v>6366</v>
      </c>
      <c r="I596" s="145">
        <f t="shared" si="153"/>
        <v>81107.08</v>
      </c>
      <c r="J596" s="145">
        <f t="shared" si="153"/>
        <v>7662.59</v>
      </c>
      <c r="K596" s="146">
        <f t="shared" si="153"/>
        <v>0</v>
      </c>
      <c r="L596" s="145">
        <f t="shared" si="153"/>
        <v>7662.59</v>
      </c>
      <c r="M596" s="145">
        <f t="shared" si="153"/>
        <v>1278.91</v>
      </c>
      <c r="N596" s="146">
        <f t="shared" si="153"/>
        <v>0</v>
      </c>
      <c r="O596" s="145">
        <f t="shared" si="153"/>
        <v>1278.91</v>
      </c>
      <c r="P596" s="145">
        <f>P33+P43+P53+P63+P73+P83+P93+P103+P114+P135+P145+P292+P302+P310+P326+P365+P377+P447+P458+P468+P478+P514+P525+P547+P558+P569+P580+0.5</f>
        <v>93545.95999999999</v>
      </c>
      <c r="IP596" s="4"/>
      <c r="IQ596" s="4"/>
      <c r="IR596" s="4"/>
      <c r="IS596" s="4"/>
      <c r="IT596" s="4"/>
    </row>
    <row r="597" spans="1:254" s="79" customFormat="1" ht="15.75" customHeight="1">
      <c r="A597" s="143"/>
      <c r="B597" s="144" t="s">
        <v>143</v>
      </c>
      <c r="C597" s="145">
        <f>C34+C44+C54+C64+C74+C84+C94+C104+C115+C136+C146+C293+C303+C311+C327+C366+C378+C448+C459+C469+C479+C515+C526+C548+C559+C570+C581-0.5</f>
        <v>253558.405</v>
      </c>
      <c r="D597" s="145">
        <f aca="true" t="shared" si="154" ref="D597:I598">D34+D44+D54+D64+D74+D84+D94+D104+D115+D136+D146+D293+D303+D311+D327+D366+D378+D448+D459+D469+D479+D515+D526+D548+D559+D570+D581</f>
        <v>19878</v>
      </c>
      <c r="E597" s="146">
        <f t="shared" si="154"/>
        <v>0</v>
      </c>
      <c r="F597" s="145">
        <f t="shared" si="154"/>
        <v>19878</v>
      </c>
      <c r="G597" s="145">
        <f t="shared" si="154"/>
        <v>172349.40500000003</v>
      </c>
      <c r="H597" s="146">
        <f t="shared" si="154"/>
        <v>0</v>
      </c>
      <c r="I597" s="145">
        <f t="shared" si="154"/>
        <v>172349.40500000003</v>
      </c>
      <c r="J597" s="145">
        <f>J34+J44+J54+J64+J74+J84+J94+J104+J115+J136+J146+J293+J303+J311+J327+J366+J378+J448+J459+J469+J479+J515+J526+J548+J559+J570+J581-0.5</f>
        <v>50463.049999999996</v>
      </c>
      <c r="K597" s="146">
        <f>K34+K44+K54+K64+K74+K84+K94+K104+K115+K136+K146+K293+K303+K311+K327+K366+K378+K448+K459+K469+K479+K515+K526+K548+K559+K570+K581</f>
        <v>0</v>
      </c>
      <c r="L597" s="145">
        <f>L34+L44+L54+L64+L74+L84+L94+L104+L115+L136+L146+L293+L303+L311+L327+L366+L378+L448+L459+L469+L479+L515+L526+L548+L559+L570+L581-0.5</f>
        <v>50463.049999999996</v>
      </c>
      <c r="M597" s="145">
        <f aca="true" t="shared" si="155" ref="M597:O598">M34+M44+M54+M64+M74+M84+M94+M104+M115+M136+M146+M293+M303+M311+M327+M366+M378+M448+M459+M469+M479+M515+M526+M548+M559+M570+M581</f>
        <v>10867.95</v>
      </c>
      <c r="N597" s="146">
        <f t="shared" si="155"/>
        <v>0</v>
      </c>
      <c r="O597" s="145">
        <f t="shared" si="155"/>
        <v>10867.95</v>
      </c>
      <c r="P597" s="145">
        <f>P34+P44+P54+P64+P74+P84+P94+P104+P115+P136+P146+P293+P303+P311+P327+P366+P378+P448+P459+P469+P479+P515+P526+P548+P559+P570+P581-0.5</f>
        <v>253558.405</v>
      </c>
      <c r="Q597" s="105"/>
      <c r="R597" s="89"/>
      <c r="T597" s="93"/>
      <c r="U597" s="93"/>
      <c r="IP597" s="4"/>
      <c r="IQ597" s="4"/>
      <c r="IR597" s="4"/>
      <c r="IS597" s="4"/>
      <c r="IT597" s="4"/>
    </row>
    <row r="598" spans="1:254" s="79" customFormat="1" ht="16.5" customHeight="1">
      <c r="A598" s="143"/>
      <c r="B598" s="144" t="s">
        <v>144</v>
      </c>
      <c r="C598" s="145">
        <f>C35+C45+C55+C65+C75+C85+C95+C105+C116+C137+C147+C294+C304+C312+C328+C367+C379+C449+C460+C470+C480+C516+C527+C549+C560+C571+C582</f>
        <v>17655.195</v>
      </c>
      <c r="D598" s="145">
        <f t="shared" si="154"/>
        <v>7795.04</v>
      </c>
      <c r="E598" s="146">
        <f t="shared" si="154"/>
        <v>0</v>
      </c>
      <c r="F598" s="145">
        <f t="shared" si="154"/>
        <v>7795.04</v>
      </c>
      <c r="G598" s="145">
        <f t="shared" si="154"/>
        <v>9860.195</v>
      </c>
      <c r="H598" s="146">
        <f t="shared" si="154"/>
        <v>50</v>
      </c>
      <c r="I598" s="145">
        <f t="shared" si="154"/>
        <v>9910.195</v>
      </c>
      <c r="J598" s="145">
        <f>J35+J45+J55+J65+J75+J85+J95+J105+J116+J137+J147+J294+J304+J312+J328+J367+J379+J449+J460+J470+J480+J516+J527+J549+J560+J571+J582</f>
        <v>0</v>
      </c>
      <c r="K598" s="146">
        <f>K35+K45+K55+K65+K75+K85+K95+K105+K116+K137+K147+K294+K304+K312+K328+K367+K379+K449+K460+K470+K480+K516+K527+K549+K560+K571+K582</f>
        <v>146</v>
      </c>
      <c r="L598" s="145">
        <f>L35+L45+L55+L65+L75+L85+L95+L105+L116+L137+L147+L294+L304+L312+L328+L367+L379+L449+L460+L470+L480+L516+L527+L549+L560+L571+L582</f>
        <v>146</v>
      </c>
      <c r="M598" s="145">
        <f t="shared" si="155"/>
        <v>0</v>
      </c>
      <c r="N598" s="146">
        <f t="shared" si="155"/>
        <v>0</v>
      </c>
      <c r="O598" s="145">
        <f t="shared" si="155"/>
        <v>0</v>
      </c>
      <c r="P598" s="145">
        <f>P35+P45+P55+P65+P75+P85+P95+P105+P116+P137+P147+P294+P304+P312+P328+P367+P379+P449+P460+P470+P480+P516+P527+P549+P560+P571+P582</f>
        <v>17851.235</v>
      </c>
      <c r="Q598" s="105"/>
      <c r="R598" s="89"/>
      <c r="T598" s="93"/>
      <c r="U598" s="93"/>
      <c r="IP598" s="4"/>
      <c r="IQ598" s="4"/>
      <c r="IR598" s="4"/>
      <c r="IS598" s="4"/>
      <c r="IT598" s="4"/>
    </row>
    <row r="599" spans="1:254" s="79" customFormat="1" ht="15" customHeight="1">
      <c r="A599" s="143"/>
      <c r="B599" s="147" t="s">
        <v>145</v>
      </c>
      <c r="C599" s="145">
        <f aca="true" t="shared" si="156" ref="C599:P599">C364</f>
        <v>6366</v>
      </c>
      <c r="D599" s="145">
        <f t="shared" si="156"/>
        <v>0</v>
      </c>
      <c r="E599" s="146">
        <f t="shared" si="156"/>
        <v>0</v>
      </c>
      <c r="F599" s="145">
        <f t="shared" si="156"/>
        <v>0</v>
      </c>
      <c r="G599" s="145">
        <f t="shared" si="156"/>
        <v>6366</v>
      </c>
      <c r="H599" s="146">
        <f t="shared" si="156"/>
        <v>-6366</v>
      </c>
      <c r="I599" s="145">
        <f t="shared" si="156"/>
        <v>0</v>
      </c>
      <c r="J599" s="145">
        <f t="shared" si="156"/>
        <v>0</v>
      </c>
      <c r="K599" s="146">
        <f t="shared" si="156"/>
        <v>0</v>
      </c>
      <c r="L599" s="145">
        <f t="shared" si="156"/>
        <v>0</v>
      </c>
      <c r="M599" s="145">
        <f t="shared" si="156"/>
        <v>0</v>
      </c>
      <c r="N599" s="146">
        <f t="shared" si="156"/>
        <v>0</v>
      </c>
      <c r="O599" s="145">
        <f t="shared" si="156"/>
        <v>0</v>
      </c>
      <c r="P599" s="145">
        <f t="shared" si="156"/>
        <v>0</v>
      </c>
      <c r="Q599" s="105"/>
      <c r="R599" s="89"/>
      <c r="T599" s="93"/>
      <c r="U599" s="93"/>
      <c r="IP599" s="4"/>
      <c r="IQ599" s="4"/>
      <c r="IR599" s="4"/>
      <c r="IS599" s="4"/>
      <c r="IT599" s="4"/>
    </row>
    <row r="600" spans="1:254" s="79" customFormat="1" ht="28.5" customHeight="1">
      <c r="A600" s="143"/>
      <c r="B600" s="144" t="s">
        <v>146</v>
      </c>
      <c r="C600" s="145">
        <f>C601+C603+C602</f>
        <v>11944</v>
      </c>
      <c r="D600" s="145">
        <f aca="true" t="shared" si="157" ref="D600:P600">D601+D603+D602</f>
        <v>3363</v>
      </c>
      <c r="E600" s="145">
        <f t="shared" si="157"/>
        <v>0</v>
      </c>
      <c r="F600" s="145">
        <f t="shared" si="157"/>
        <v>3363</v>
      </c>
      <c r="G600" s="145">
        <f t="shared" si="157"/>
        <v>3948</v>
      </c>
      <c r="H600" s="145">
        <f t="shared" si="157"/>
        <v>0</v>
      </c>
      <c r="I600" s="145">
        <f t="shared" si="157"/>
        <v>3948</v>
      </c>
      <c r="J600" s="145">
        <f t="shared" si="157"/>
        <v>4633</v>
      </c>
      <c r="K600" s="145">
        <f t="shared" si="157"/>
        <v>0</v>
      </c>
      <c r="L600" s="145">
        <f t="shared" si="157"/>
        <v>4633</v>
      </c>
      <c r="M600" s="145">
        <f t="shared" si="157"/>
        <v>0</v>
      </c>
      <c r="N600" s="145">
        <f t="shared" si="157"/>
        <v>0</v>
      </c>
      <c r="O600" s="145">
        <f t="shared" si="157"/>
        <v>0</v>
      </c>
      <c r="P600" s="145">
        <f t="shared" si="157"/>
        <v>11944</v>
      </c>
      <c r="Q600" s="105"/>
      <c r="R600" s="89"/>
      <c r="T600" s="93"/>
      <c r="U600" s="93"/>
      <c r="IP600" s="4"/>
      <c r="IQ600" s="4"/>
      <c r="IR600" s="4"/>
      <c r="IS600" s="4"/>
      <c r="IT600" s="4"/>
    </row>
    <row r="601" spans="1:254" s="79" customFormat="1" ht="14.25" customHeight="1">
      <c r="A601" s="143"/>
      <c r="B601" s="118" t="s">
        <v>67</v>
      </c>
      <c r="C601" s="148">
        <f aca="true" t="shared" si="158" ref="C601:P601">C389+C417+C429+C438+C408+C173+C155+C164+C182+C191+C200+C209+C218+C227+C236+C245+C254+C263+C272+C281</f>
        <v>10003</v>
      </c>
      <c r="D601" s="148">
        <f t="shared" si="158"/>
        <v>2808</v>
      </c>
      <c r="E601" s="149">
        <f t="shared" si="158"/>
        <v>0</v>
      </c>
      <c r="F601" s="148">
        <f t="shared" si="158"/>
        <v>2808</v>
      </c>
      <c r="G601" s="148">
        <f t="shared" si="158"/>
        <v>3302</v>
      </c>
      <c r="H601" s="149">
        <f t="shared" si="158"/>
        <v>-1482</v>
      </c>
      <c r="I601" s="148">
        <f t="shared" si="158"/>
        <v>1820</v>
      </c>
      <c r="J601" s="148">
        <f t="shared" si="158"/>
        <v>3893</v>
      </c>
      <c r="K601" s="149">
        <f t="shared" si="158"/>
        <v>-1273</v>
      </c>
      <c r="L601" s="148">
        <f t="shared" si="158"/>
        <v>2620</v>
      </c>
      <c r="M601" s="148">
        <f t="shared" si="158"/>
        <v>0</v>
      </c>
      <c r="N601" s="149">
        <f t="shared" si="158"/>
        <v>0</v>
      </c>
      <c r="O601" s="148">
        <f t="shared" si="158"/>
        <v>0</v>
      </c>
      <c r="P601" s="148">
        <f t="shared" si="158"/>
        <v>7248</v>
      </c>
      <c r="Q601" s="102"/>
      <c r="R601" s="89"/>
      <c r="T601" s="80"/>
      <c r="U601" s="80"/>
      <c r="IP601" s="4"/>
      <c r="IQ601" s="4"/>
      <c r="IR601" s="4"/>
      <c r="IS601" s="4"/>
      <c r="IT601" s="4"/>
    </row>
    <row r="602" spans="1:254" s="79" customFormat="1" ht="14.25" customHeight="1">
      <c r="A602" s="143"/>
      <c r="B602" s="118" t="s">
        <v>65</v>
      </c>
      <c r="C602" s="148">
        <f aca="true" t="shared" si="159" ref="C602:P602">C390+C418+C430+C439+C409+C174+C156+C165+C183+C192+C201+C210+C219+C228+C237+C246+C255+C264+C273+C282</f>
        <v>0</v>
      </c>
      <c r="D602" s="148">
        <f t="shared" si="159"/>
        <v>0</v>
      </c>
      <c r="E602" s="149">
        <f t="shared" si="159"/>
        <v>0</v>
      </c>
      <c r="F602" s="148">
        <f t="shared" si="159"/>
        <v>0</v>
      </c>
      <c r="G602" s="148">
        <f t="shared" si="159"/>
        <v>0</v>
      </c>
      <c r="H602" s="149">
        <f t="shared" si="159"/>
        <v>1482</v>
      </c>
      <c r="I602" s="148">
        <f t="shared" si="159"/>
        <v>1482</v>
      </c>
      <c r="J602" s="148">
        <f t="shared" si="159"/>
        <v>0</v>
      </c>
      <c r="K602" s="149">
        <f t="shared" si="159"/>
        <v>1273</v>
      </c>
      <c r="L602" s="148">
        <f t="shared" si="159"/>
        <v>1273</v>
      </c>
      <c r="M602" s="148">
        <f t="shared" si="159"/>
        <v>0</v>
      </c>
      <c r="N602" s="149">
        <f t="shared" si="159"/>
        <v>0</v>
      </c>
      <c r="O602" s="148">
        <f t="shared" si="159"/>
        <v>0</v>
      </c>
      <c r="P602" s="148">
        <f t="shared" si="159"/>
        <v>2755</v>
      </c>
      <c r="Q602" s="102"/>
      <c r="R602" s="89"/>
      <c r="T602" s="80"/>
      <c r="U602" s="80"/>
      <c r="IP602" s="4"/>
      <c r="IQ602" s="4"/>
      <c r="IR602" s="4"/>
      <c r="IS602" s="4"/>
      <c r="IT602" s="4"/>
    </row>
    <row r="603" spans="1:254" s="79" customFormat="1" ht="14.25" customHeight="1">
      <c r="A603" s="143"/>
      <c r="B603" s="118" t="s">
        <v>68</v>
      </c>
      <c r="C603" s="148">
        <f aca="true" t="shared" si="160" ref="C603:P603">C391+C419+C431+C440+C410+C175+C157+C166+C184+C193+C202+C211+C220+C229+C238+C247+C256+C265+C274+C283</f>
        <v>1941</v>
      </c>
      <c r="D603" s="148">
        <f t="shared" si="160"/>
        <v>555</v>
      </c>
      <c r="E603" s="149">
        <f t="shared" si="160"/>
        <v>0</v>
      </c>
      <c r="F603" s="148">
        <f t="shared" si="160"/>
        <v>555</v>
      </c>
      <c r="G603" s="148">
        <f t="shared" si="160"/>
        <v>646</v>
      </c>
      <c r="H603" s="149">
        <f t="shared" si="160"/>
        <v>0</v>
      </c>
      <c r="I603" s="148">
        <f t="shared" si="160"/>
        <v>646</v>
      </c>
      <c r="J603" s="148">
        <f t="shared" si="160"/>
        <v>740</v>
      </c>
      <c r="K603" s="149">
        <f t="shared" si="160"/>
        <v>0</v>
      </c>
      <c r="L603" s="148">
        <f t="shared" si="160"/>
        <v>740</v>
      </c>
      <c r="M603" s="148">
        <f t="shared" si="160"/>
        <v>0</v>
      </c>
      <c r="N603" s="149">
        <f t="shared" si="160"/>
        <v>0</v>
      </c>
      <c r="O603" s="148">
        <f t="shared" si="160"/>
        <v>0</v>
      </c>
      <c r="P603" s="148">
        <f t="shared" si="160"/>
        <v>1941</v>
      </c>
      <c r="Q603" s="102"/>
      <c r="R603" s="89"/>
      <c r="T603" s="80"/>
      <c r="U603" s="80"/>
      <c r="IP603" s="4"/>
      <c r="IQ603" s="4"/>
      <c r="IR603" s="4"/>
      <c r="IS603" s="4"/>
      <c r="IT603" s="4"/>
    </row>
    <row r="604" spans="1:254" s="79" customFormat="1" ht="30">
      <c r="A604" s="143"/>
      <c r="B604" s="144" t="s">
        <v>147</v>
      </c>
      <c r="C604" s="145">
        <f aca="true" t="shared" si="161" ref="C604:P604">C605+C606</f>
        <v>8535</v>
      </c>
      <c r="D604" s="145">
        <f t="shared" si="161"/>
        <v>8</v>
      </c>
      <c r="E604" s="146">
        <f t="shared" si="161"/>
        <v>0</v>
      </c>
      <c r="F604" s="145">
        <f t="shared" si="161"/>
        <v>8</v>
      </c>
      <c r="G604" s="145">
        <f t="shared" si="161"/>
        <v>44</v>
      </c>
      <c r="H604" s="146">
        <f t="shared" si="161"/>
        <v>0</v>
      </c>
      <c r="I604" s="145">
        <f t="shared" si="161"/>
        <v>44</v>
      </c>
      <c r="J604" s="145">
        <f t="shared" si="161"/>
        <v>6636</v>
      </c>
      <c r="K604" s="146">
        <f t="shared" si="161"/>
        <v>0</v>
      </c>
      <c r="L604" s="145">
        <f t="shared" si="161"/>
        <v>6636</v>
      </c>
      <c r="M604" s="145">
        <f t="shared" si="161"/>
        <v>1847</v>
      </c>
      <c r="N604" s="146">
        <f t="shared" si="161"/>
        <v>0</v>
      </c>
      <c r="O604" s="145">
        <f t="shared" si="161"/>
        <v>1847</v>
      </c>
      <c r="P604" s="145">
        <f t="shared" si="161"/>
        <v>8535</v>
      </c>
      <c r="Q604" s="105"/>
      <c r="R604" s="89"/>
      <c r="T604" s="93"/>
      <c r="U604" s="93"/>
      <c r="IP604" s="4"/>
      <c r="IQ604" s="4"/>
      <c r="IR604" s="4"/>
      <c r="IS604" s="4"/>
      <c r="IT604" s="4"/>
    </row>
    <row r="605" spans="1:254" s="79" customFormat="1" ht="14.25" customHeight="1">
      <c r="A605" s="143"/>
      <c r="B605" s="118" t="s">
        <v>148</v>
      </c>
      <c r="C605" s="148">
        <f aca="true" t="shared" si="162" ref="C605:P605">C591+C399+C15+C24+C319+C335+C343</f>
        <v>7170</v>
      </c>
      <c r="D605" s="148">
        <f t="shared" si="162"/>
        <v>6</v>
      </c>
      <c r="E605" s="149">
        <f t="shared" si="162"/>
        <v>0</v>
      </c>
      <c r="F605" s="148">
        <f t="shared" si="162"/>
        <v>6</v>
      </c>
      <c r="G605" s="148">
        <f t="shared" si="162"/>
        <v>36</v>
      </c>
      <c r="H605" s="149">
        <f t="shared" si="162"/>
        <v>0</v>
      </c>
      <c r="I605" s="148">
        <f t="shared" si="162"/>
        <v>36</v>
      </c>
      <c r="J605" s="148">
        <f t="shared" si="162"/>
        <v>5576</v>
      </c>
      <c r="K605" s="149">
        <f t="shared" si="162"/>
        <v>0</v>
      </c>
      <c r="L605" s="148">
        <f t="shared" si="162"/>
        <v>5576</v>
      </c>
      <c r="M605" s="148">
        <f t="shared" si="162"/>
        <v>1552</v>
      </c>
      <c r="N605" s="149">
        <f t="shared" si="162"/>
        <v>0</v>
      </c>
      <c r="O605" s="148">
        <f t="shared" si="162"/>
        <v>1552</v>
      </c>
      <c r="P605" s="148">
        <f t="shared" si="162"/>
        <v>7170</v>
      </c>
      <c r="Q605" s="102"/>
      <c r="R605" s="89"/>
      <c r="T605" s="80"/>
      <c r="U605" s="80"/>
      <c r="IP605" s="4"/>
      <c r="IQ605" s="4"/>
      <c r="IR605" s="4"/>
      <c r="IS605" s="4"/>
      <c r="IT605" s="4"/>
    </row>
    <row r="606" spans="1:254" s="79" customFormat="1" ht="14.25" customHeight="1">
      <c r="A606" s="143"/>
      <c r="B606" s="118" t="s">
        <v>149</v>
      </c>
      <c r="C606" s="148">
        <f aca="true" t="shared" si="163" ref="C606:P606">C593+C401+C17+C26+C321+C337+C344</f>
        <v>1365</v>
      </c>
      <c r="D606" s="148">
        <f t="shared" si="163"/>
        <v>2</v>
      </c>
      <c r="E606" s="149">
        <f t="shared" si="163"/>
        <v>0</v>
      </c>
      <c r="F606" s="148">
        <f t="shared" si="163"/>
        <v>2</v>
      </c>
      <c r="G606" s="148">
        <f t="shared" si="163"/>
        <v>8</v>
      </c>
      <c r="H606" s="149">
        <f t="shared" si="163"/>
        <v>0</v>
      </c>
      <c r="I606" s="148">
        <f t="shared" si="163"/>
        <v>8</v>
      </c>
      <c r="J606" s="148">
        <f t="shared" si="163"/>
        <v>1060</v>
      </c>
      <c r="K606" s="149">
        <f t="shared" si="163"/>
        <v>0</v>
      </c>
      <c r="L606" s="148">
        <f t="shared" si="163"/>
        <v>1060</v>
      </c>
      <c r="M606" s="148">
        <f t="shared" si="163"/>
        <v>295</v>
      </c>
      <c r="N606" s="149">
        <f t="shared" si="163"/>
        <v>0</v>
      </c>
      <c r="O606" s="148">
        <f t="shared" si="163"/>
        <v>295</v>
      </c>
      <c r="P606" s="148">
        <f t="shared" si="163"/>
        <v>1365</v>
      </c>
      <c r="Q606" s="102"/>
      <c r="R606" s="89"/>
      <c r="T606" s="80"/>
      <c r="U606" s="80"/>
      <c r="IP606" s="4"/>
      <c r="IQ606" s="4"/>
      <c r="IR606" s="4"/>
      <c r="IS606" s="4"/>
      <c r="IT606" s="4"/>
    </row>
    <row r="607" spans="1:254" s="79" customFormat="1" ht="15" customHeight="1">
      <c r="A607" s="143"/>
      <c r="B607" s="144" t="s">
        <v>150</v>
      </c>
      <c r="C607" s="145">
        <f aca="true" t="shared" si="164" ref="C607:P607">C583+C572+C561+C550+C528+C517+C117+C106</f>
        <v>113724</v>
      </c>
      <c r="D607" s="145">
        <f t="shared" si="164"/>
        <v>113724</v>
      </c>
      <c r="E607" s="146">
        <f t="shared" si="164"/>
        <v>0</v>
      </c>
      <c r="F607" s="145">
        <f t="shared" si="164"/>
        <v>113724</v>
      </c>
      <c r="G607" s="145">
        <f t="shared" si="164"/>
        <v>0</v>
      </c>
      <c r="H607" s="146">
        <f t="shared" si="164"/>
        <v>0</v>
      </c>
      <c r="I607" s="145">
        <f t="shared" si="164"/>
        <v>0</v>
      </c>
      <c r="J607" s="145">
        <f t="shared" si="164"/>
        <v>0</v>
      </c>
      <c r="K607" s="146">
        <f t="shared" si="164"/>
        <v>0</v>
      </c>
      <c r="L607" s="145">
        <f t="shared" si="164"/>
        <v>0</v>
      </c>
      <c r="M607" s="145">
        <f t="shared" si="164"/>
        <v>0</v>
      </c>
      <c r="N607" s="146">
        <f t="shared" si="164"/>
        <v>0</v>
      </c>
      <c r="O607" s="145">
        <f t="shared" si="164"/>
        <v>0</v>
      </c>
      <c r="P607" s="145">
        <f t="shared" si="164"/>
        <v>113724</v>
      </c>
      <c r="Q607" s="105"/>
      <c r="R607" s="89"/>
      <c r="T607" s="93"/>
      <c r="U607" s="93"/>
      <c r="IP607" s="4"/>
      <c r="IQ607" s="4"/>
      <c r="IR607" s="4"/>
      <c r="IS607" s="4"/>
      <c r="IT607" s="4"/>
    </row>
    <row r="608" spans="1:254" s="79" customFormat="1" ht="15" customHeight="1">
      <c r="A608" s="143"/>
      <c r="B608" s="150" t="s">
        <v>40</v>
      </c>
      <c r="C608" s="145">
        <f>(C36+C46+C56+C66+C76+C86+C96+C107+C118+C138+C148+C295+C305+C313+C329+C368+C380+C450+C461+C471+C481+C518+C551+C562+C573+C584+C529)-C364+0.5+C493</f>
        <v>39046.95999999999</v>
      </c>
      <c r="D608" s="145">
        <f>(D36+D46+D56+D66+D76+D86+D96+D107+D118+D138+D148+D295+D305+D313+D329+D368+D380+D450+D461+D471+D481+D518+D551+D562+D573+D584+D529)-D364+D493</f>
        <v>7727.86</v>
      </c>
      <c r="E608" s="146">
        <f>(E36+E46+E56+E66+E76+E86+E96+E107+E118+E138+E148+E295+E305+E313+E329+E368+E380+E450+E461+E471+E481+E518+E551+E562+E573+E584+E529)-E364+E493</f>
        <v>0</v>
      </c>
      <c r="F608" s="145">
        <f>(F36+F46+F56+F66+F76+F86+F96+F107+F118+F138+F148+F295+F305+F313+F329+F368+F380+F450+F461+F471+F481+F518+F551+F562+F573+F584+F529)-F364+F493</f>
        <v>7727.86</v>
      </c>
      <c r="G608" s="145">
        <f>(G36+G46+G56+G66+G76+G86+G96+G107+G118+G138+G148+G295+G305+G313+G329+G368+G380+G450+G461+G471+G481+G518+G551+G562+G573+G584+G529)-G364+0.5+G493</f>
        <v>5583.589999999998</v>
      </c>
      <c r="H608" s="146">
        <f>(H36+H46+H56+H66+H76+H86+H96+H107+H118+H138+H148+H295+H305+H313+H329+H368+H380+H450+H461+H471+H481+H518+H551+H562+H573+H584+H529)+H493</f>
        <v>0</v>
      </c>
      <c r="I608" s="145">
        <f>(I36+I46+I56+I66+I76+I86+I96+I107+I118+I138+I148+I295+I305+I313+I329+I368+I380+I450+I461+I471+I481+I518+I551+I562+I573+I584+I529)-I365+0.5+I493</f>
        <v>5583.589999999998</v>
      </c>
      <c r="J608" s="145">
        <f aca="true" t="shared" si="165" ref="J608:O608">(J36+J46+J56+J66+J76+J86+J96+J107+J118+J138+J148+J295+J305+J313+J329+J368+J380+J450+J461+J471+J481+J518+J551+J562+J573+J584+J529)-J364+J493</f>
        <v>13258.86</v>
      </c>
      <c r="K608" s="146">
        <f t="shared" si="165"/>
        <v>0</v>
      </c>
      <c r="L608" s="145">
        <f t="shared" si="165"/>
        <v>13258.86</v>
      </c>
      <c r="M608" s="145">
        <f t="shared" si="165"/>
        <v>12476.14</v>
      </c>
      <c r="N608" s="146">
        <f t="shared" si="165"/>
        <v>0</v>
      </c>
      <c r="O608" s="145">
        <f t="shared" si="165"/>
        <v>12476.14</v>
      </c>
      <c r="P608" s="145">
        <f>(P36+P46+P56+P66+P76+P86+P96+P107+P118+P138+P148+P295+P305+P313+P329+P368+P380+P450+P461+P471+P481+P518+P551+P562+P573+P584+P529)-I365+0.9+P493</f>
        <v>39046.85</v>
      </c>
      <c r="Q608" s="98"/>
      <c r="R608" s="89"/>
      <c r="IP608" s="4"/>
      <c r="IQ608" s="4"/>
      <c r="IR608" s="4"/>
      <c r="IS608" s="4"/>
      <c r="IT608" s="4"/>
    </row>
    <row r="609" spans="1:19" ht="15" customHeight="1">
      <c r="A609" s="151"/>
      <c r="B609" s="152" t="s">
        <v>151</v>
      </c>
      <c r="C609" s="153">
        <f aca="true" t="shared" si="166" ref="C609:O609">(C596+C597+C598+C607+C608+C600+C599+C604)</f>
        <v>538009.34</v>
      </c>
      <c r="D609" s="153">
        <f t="shared" si="166"/>
        <v>155992.78</v>
      </c>
      <c r="E609" s="154">
        <f t="shared" si="166"/>
        <v>0</v>
      </c>
      <c r="F609" s="153">
        <f t="shared" si="166"/>
        <v>155992.78</v>
      </c>
      <c r="G609" s="153">
        <f>(G596+G597+G598+G607+G608+G600+G599+G604)</f>
        <v>272892.2700000001</v>
      </c>
      <c r="H609" s="154">
        <f>(H596+H597+H598+H607+H608+H600+H599+H604)</f>
        <v>50</v>
      </c>
      <c r="I609" s="153">
        <f>(I596+I597+I598+I607+I608+I600+I599+I604)</f>
        <v>272942.2700000001</v>
      </c>
      <c r="J609" s="153">
        <f t="shared" si="166"/>
        <v>82653.5</v>
      </c>
      <c r="K609" s="154">
        <f t="shared" si="166"/>
        <v>146</v>
      </c>
      <c r="L609" s="153">
        <f t="shared" si="166"/>
        <v>82799.5</v>
      </c>
      <c r="M609" s="153">
        <f t="shared" si="166"/>
        <v>26470</v>
      </c>
      <c r="N609" s="154">
        <f t="shared" si="166"/>
        <v>0</v>
      </c>
      <c r="O609" s="153">
        <f t="shared" si="166"/>
        <v>26470</v>
      </c>
      <c r="P609" s="153">
        <f>(P596+P597+P598+P607+P608+P600+P599+P604)</f>
        <v>538205.45</v>
      </c>
      <c r="Q609" s="155"/>
      <c r="R609" s="155"/>
      <c r="S609" s="156">
        <f>C595-C609</f>
        <v>-0.3399999999674037</v>
      </c>
    </row>
    <row r="610" spans="1:19" ht="12.75" customHeight="1">
      <c r="A610" s="157"/>
      <c r="B610" s="158"/>
      <c r="C610" s="159"/>
      <c r="D610" s="159"/>
      <c r="E610" s="160"/>
      <c r="F610" s="159"/>
      <c r="G610" s="159"/>
      <c r="H610" s="160"/>
      <c r="I610" s="159"/>
      <c r="J610" s="159"/>
      <c r="K610" s="160"/>
      <c r="L610" s="159"/>
      <c r="M610" s="159"/>
      <c r="N610" s="160"/>
      <c r="O610" s="159"/>
      <c r="Q610" s="155"/>
      <c r="R610" s="155"/>
      <c r="S610" s="156"/>
    </row>
    <row r="611" spans="1:256" s="23" customFormat="1" ht="15">
      <c r="A611" s="185" t="s">
        <v>152</v>
      </c>
      <c r="B611" s="185"/>
      <c r="C611" s="185"/>
      <c r="D611" s="185"/>
      <c r="E611" s="185"/>
      <c r="F611" s="185"/>
      <c r="G611" s="185"/>
      <c r="H611" s="185"/>
      <c r="I611" s="185"/>
      <c r="J611" s="185"/>
      <c r="K611" s="185"/>
      <c r="L611" s="185"/>
      <c r="M611" s="185"/>
      <c r="N611" s="162"/>
      <c r="O611" s="161"/>
      <c r="P611" s="3"/>
      <c r="Q611" s="29"/>
      <c r="R611" s="29"/>
      <c r="IP611" s="24"/>
      <c r="IQ611" s="24"/>
      <c r="IR611" s="24"/>
      <c r="IS611" s="24"/>
      <c r="IT611" s="24"/>
      <c r="IU611" s="24"/>
      <c r="IV611" s="24"/>
    </row>
    <row r="612" spans="1:256" s="23" customFormat="1" ht="15.75" customHeight="1">
      <c r="A612" s="185" t="s">
        <v>153</v>
      </c>
      <c r="B612" s="185"/>
      <c r="C612" s="185"/>
      <c r="D612" s="185"/>
      <c r="E612" s="185"/>
      <c r="F612" s="185"/>
      <c r="G612" s="185"/>
      <c r="H612" s="185"/>
      <c r="I612" s="185"/>
      <c r="J612" s="185"/>
      <c r="K612" s="185"/>
      <c r="L612" s="185"/>
      <c r="M612" s="185"/>
      <c r="N612" s="162"/>
      <c r="O612" s="161"/>
      <c r="P612" s="163"/>
      <c r="Q612" s="29"/>
      <c r="R612" s="29"/>
      <c r="IP612" s="24"/>
      <c r="IQ612" s="24"/>
      <c r="IR612" s="24"/>
      <c r="IS612" s="24"/>
      <c r="IT612" s="24"/>
      <c r="IU612" s="24"/>
      <c r="IV612" s="24"/>
    </row>
    <row r="613" spans="2:3" ht="15">
      <c r="B613" s="164"/>
      <c r="C613" s="165"/>
    </row>
    <row r="614" spans="2:11" ht="15.75">
      <c r="B614" s="164"/>
      <c r="C614" s="164"/>
      <c r="G614"/>
      <c r="H614" s="166"/>
      <c r="J614"/>
      <c r="K614" s="166"/>
    </row>
    <row r="615" spans="2:11" ht="15.75">
      <c r="B615" s="85"/>
      <c r="C615"/>
      <c r="G615"/>
      <c r="H615" s="166"/>
      <c r="J615"/>
      <c r="K615" s="166"/>
    </row>
    <row r="616" spans="2:11" ht="15.75">
      <c r="B616" s="85"/>
      <c r="C616"/>
      <c r="G616"/>
      <c r="H616" s="166"/>
      <c r="J616"/>
      <c r="K616" s="166"/>
    </row>
    <row r="617" spans="2:11" ht="15.75">
      <c r="B617" s="85"/>
      <c r="C617"/>
      <c r="G617"/>
      <c r="H617" s="166"/>
      <c r="J617"/>
      <c r="K617" s="166"/>
    </row>
    <row r="618" spans="1:16" ht="15">
      <c r="A618" s="183"/>
      <c r="B618" s="183"/>
      <c r="C618" s="183"/>
      <c r="D618" s="183"/>
      <c r="E618" s="183"/>
      <c r="F618" s="183"/>
      <c r="G618" s="183"/>
      <c r="H618" s="183"/>
      <c r="I618" s="183"/>
      <c r="J618" s="183"/>
      <c r="K618" s="183"/>
      <c r="L618" s="183"/>
      <c r="M618" s="183"/>
      <c r="N618" s="183"/>
      <c r="O618" s="183"/>
      <c r="P618" s="183"/>
    </row>
    <row r="619" spans="1:16" ht="15">
      <c r="A619" s="183"/>
      <c r="B619" s="183"/>
      <c r="C619" s="183"/>
      <c r="D619" s="183"/>
      <c r="E619" s="183"/>
      <c r="F619" s="183"/>
      <c r="G619" s="183"/>
      <c r="H619" s="183"/>
      <c r="I619" s="183"/>
      <c r="J619" s="183"/>
      <c r="K619" s="183"/>
      <c r="L619" s="183"/>
      <c r="M619" s="183"/>
      <c r="N619" s="183"/>
      <c r="O619" s="183"/>
      <c r="P619" s="183"/>
    </row>
    <row r="623" spans="2:3" ht="15">
      <c r="B623" s="167"/>
      <c r="C623" s="168"/>
    </row>
    <row r="624" spans="2:3" ht="15">
      <c r="B624" s="167"/>
      <c r="C624" s="168"/>
    </row>
    <row r="625" spans="2:3" ht="15">
      <c r="B625" s="167"/>
      <c r="C625" s="168"/>
    </row>
    <row r="626" spans="2:3" ht="15">
      <c r="B626" s="94"/>
      <c r="C626" s="168"/>
    </row>
    <row r="655" ht="15"/>
    <row r="656" ht="15"/>
    <row r="657" ht="15"/>
    <row r="658" ht="15"/>
    <row r="659" ht="15"/>
    <row r="660" ht="15"/>
    <row r="661" ht="15"/>
    <row r="662" ht="15"/>
    <row r="663" ht="15"/>
    <row r="664" ht="15"/>
    <row r="665" ht="15"/>
    <row r="666" ht="15"/>
  </sheetData>
  <sheetProtection selectLockedCells="1" selectUnlockedCells="1"/>
  <mergeCells count="52">
    <mergeCell ref="A618:P618"/>
    <mergeCell ref="A619:P619"/>
    <mergeCell ref="Q575:Q576"/>
    <mergeCell ref="R575:R576"/>
    <mergeCell ref="S575:S576"/>
    <mergeCell ref="A594:B594"/>
    <mergeCell ref="A611:M611"/>
    <mergeCell ref="A612:M612"/>
    <mergeCell ref="Q553:Q554"/>
    <mergeCell ref="R553:R554"/>
    <mergeCell ref="S553:S554"/>
    <mergeCell ref="Q564:Q565"/>
    <mergeCell ref="R564:R565"/>
    <mergeCell ref="S564:S565"/>
    <mergeCell ref="Q531:Q532"/>
    <mergeCell ref="R531:R532"/>
    <mergeCell ref="S531:S532"/>
    <mergeCell ref="Q542:Q543"/>
    <mergeCell ref="R542:R543"/>
    <mergeCell ref="S542:S543"/>
    <mergeCell ref="A506:B506"/>
    <mergeCell ref="A507:C507"/>
    <mergeCell ref="Q509:Q510"/>
    <mergeCell ref="R509:R510"/>
    <mergeCell ref="S509:S510"/>
    <mergeCell ref="Q520:Q521"/>
    <mergeCell ref="R520:R521"/>
    <mergeCell ref="S520:S521"/>
    <mergeCell ref="A369:B369"/>
    <mergeCell ref="A370:C370"/>
    <mergeCell ref="A482:B482"/>
    <mergeCell ref="A483:B483"/>
    <mergeCell ref="A494:B494"/>
    <mergeCell ref="A495:C495"/>
    <mergeCell ref="A285:C285"/>
    <mergeCell ref="A345:B345"/>
    <mergeCell ref="A346:C346"/>
    <mergeCell ref="Q348:Q349"/>
    <mergeCell ref="R348:R349"/>
    <mergeCell ref="S348:S349"/>
    <mergeCell ref="R98:R99"/>
    <mergeCell ref="S98:S99"/>
    <mergeCell ref="Q109:Q110"/>
    <mergeCell ref="R109:R110"/>
    <mergeCell ref="S109:S110"/>
    <mergeCell ref="A284:B284"/>
    <mergeCell ref="A2:B2"/>
    <mergeCell ref="A3:C3"/>
    <mergeCell ref="A4:B4"/>
    <mergeCell ref="A5:M5"/>
    <mergeCell ref="A8:C8"/>
    <mergeCell ref="Q98:Q99"/>
  </mergeCells>
  <printOptions/>
  <pageMargins left="0.5118055555555555" right="0.4722222222222222" top="0.5097222222222222" bottom="0.5097222222222222" header="0.5118055555555555" footer="0.5118055555555555"/>
  <pageSetup fitToHeight="0" fitToWidth="1" horizontalDpi="600" verticalDpi="600" orientation="landscape" paperSize="9" scale="61" r:id="rId3"/>
  <rowBreaks count="6" manualBreakCount="6">
    <brk id="79" max="255" man="1"/>
    <brk id="184" max="255" man="1"/>
    <brk id="274" max="255" man="1"/>
    <brk id="345" max="255" man="1"/>
    <brk id="451" max="255" man="1"/>
    <brk id="529" max="255" man="1"/>
  </rowBreaks>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utilizator deip17</dc:creator>
  <cp:keywords/>
  <dc:description/>
  <cp:lastModifiedBy>utilizator deip17</cp:lastModifiedBy>
  <cp:lastPrinted>2023-05-22T08:27:56Z</cp:lastPrinted>
  <dcterms:created xsi:type="dcterms:W3CDTF">2023-05-22T08:18:01Z</dcterms:created>
  <dcterms:modified xsi:type="dcterms:W3CDTF">2023-05-22T08:36:04Z</dcterms:modified>
  <cp:category/>
  <cp:version/>
  <cp:contentType/>
  <cp:contentStatus/>
</cp:coreProperties>
</file>